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版本" sheetId="2" r:id="rId1"/>
    <sheet name="MARS-2621-42GTx" sheetId="1" r:id="rId2"/>
  </sheets>
  <calcPr calcId="144525"/>
</workbook>
</file>

<file path=xl/sharedStrings.xml><?xml version="1.0" encoding="utf-8"?>
<sst xmlns="http://schemas.openxmlformats.org/spreadsheetml/2006/main" count="445" uniqueCount="332">
  <si>
    <t>版本</t>
  </si>
  <si>
    <t>修改内容</t>
  </si>
  <si>
    <t>时间</t>
  </si>
  <si>
    <t>1.0.0</t>
  </si>
  <si>
    <t>添加MARS-2621-42GTx型号</t>
  </si>
  <si>
    <t>参数输入：</t>
  </si>
  <si>
    <t>图像宽度最大值</t>
  </si>
  <si>
    <t>WidthMax</t>
  </si>
  <si>
    <t>图像高度最大值</t>
  </si>
  <si>
    <t>HeightMax</t>
  </si>
  <si>
    <t>图像宽度</t>
  </si>
  <si>
    <t>Width</t>
  </si>
  <si>
    <t>图像高度</t>
  </si>
  <si>
    <t>Height</t>
  </si>
  <si>
    <t>水平像素Binning</t>
  </si>
  <si>
    <t>BinningHorizontal</t>
  </si>
  <si>
    <t>水平像素抽样</t>
  </si>
  <si>
    <t>DecimationHorizontal</t>
  </si>
  <si>
    <t>垂直像素抽样</t>
  </si>
  <si>
    <t>DecimationVertical</t>
  </si>
  <si>
    <t>曝光时间</t>
  </si>
  <si>
    <t>ExposureTime(us)</t>
  </si>
  <si>
    <t>像素格式</t>
  </si>
  <si>
    <t>PixelFormat(8/12)</t>
  </si>
  <si>
    <t>带宽限制值</t>
  </si>
  <si>
    <t>LinkSpeed(Mbps)</t>
  </si>
  <si>
    <t>帧率控制</t>
  </si>
  <si>
    <t>GevFramerateAbsEn</t>
  </si>
  <si>
    <t>帧率控制值</t>
  </si>
  <si>
    <t>GevFramerateABS</t>
  </si>
  <si>
    <t>预留带宽</t>
  </si>
  <si>
    <t>BandwidthReserve</t>
  </si>
  <si>
    <t>预留带宽最大值</t>
  </si>
  <si>
    <t>BandwidthReserveMaxValue</t>
  </si>
  <si>
    <t>包间隔</t>
  </si>
  <si>
    <t>GevSCPD</t>
  </si>
  <si>
    <t>包间隔最大值</t>
  </si>
  <si>
    <t>GevSCPDMaxValue</t>
  </si>
  <si>
    <t>包长</t>
  </si>
  <si>
    <t>GevSCPSPacketSize</t>
  </si>
  <si>
    <t>曝光延迟</t>
  </si>
  <si>
    <t>ExposureDelay(us)</t>
  </si>
  <si>
    <t>触发模式</t>
  </si>
  <si>
    <t>TiggerMode</t>
  </si>
  <si>
    <t>计算结果：</t>
  </si>
  <si>
    <t>帧率</t>
  </si>
  <si>
    <t>FPS</t>
  </si>
  <si>
    <t>错误信息：</t>
  </si>
  <si>
    <t>当前参数不在范围4~图像宽度最大值内，请重新输入</t>
  </si>
  <si>
    <t>Binning/Skipping后最大宽度</t>
  </si>
  <si>
    <t>当前参数不在范围2~图像高度最大值内，请重新输入</t>
  </si>
  <si>
    <t>Binning/Skipping后最大高度</t>
  </si>
  <si>
    <t>当前帧率计算表中参数计算出的帧率可能出现异常，请根据提示修改参数</t>
  </si>
  <si>
    <t>Binning/Skipping后宽度</t>
  </si>
  <si>
    <t>Binning/Skipping后高度</t>
  </si>
  <si>
    <t>实际生效水平系数</t>
  </si>
  <si>
    <t>帧率计算是否正确：</t>
  </si>
  <si>
    <t>实际生效垂直系数</t>
  </si>
  <si>
    <t>camera_model</t>
  </si>
  <si>
    <t>相机型号</t>
  </si>
  <si>
    <t>me2p-2621-4gx</t>
  </si>
  <si>
    <t>计算结果</t>
  </si>
  <si>
    <t>计算过程</t>
  </si>
  <si>
    <t>映射关系表（绝大多数应用于本表格的公式计算，还有一些关联fpga工程中的宏定义）</t>
  </si>
  <si>
    <t>参数输入</t>
  </si>
  <si>
    <t>固定参数（每款sensor值不一样，需要提取成宏）</t>
  </si>
  <si>
    <t>1.camera_model</t>
  </si>
  <si>
    <t>2.sensor</t>
  </si>
  <si>
    <t xml:space="preserve">3.Master Clock </t>
  </si>
  <si>
    <t>4.pixel_clk</t>
  </si>
  <si>
    <t>5.phy num</t>
  </si>
  <si>
    <t>6.phy ch num</t>
  </si>
  <si>
    <t>7.margin_x</t>
  </si>
  <si>
    <t>8.margin_y</t>
  </si>
  <si>
    <t>9.sensor_width_min</t>
  </si>
  <si>
    <t>10.sensor_height_min</t>
  </si>
  <si>
    <t>11.sensor_width_max</t>
  </si>
  <si>
    <t>12.sensor_height_max</t>
  </si>
  <si>
    <t>13.Tfot</t>
  </si>
  <si>
    <t>14.LINE_U_LENGTH</t>
  </si>
  <si>
    <t>15.Nline</t>
  </si>
  <si>
    <t>16.exp_start_dly_line</t>
  </si>
  <si>
    <t>17.exp_end_dly_clk</t>
  </si>
  <si>
    <t>18.tp_row_num</t>
  </si>
  <si>
    <t>19.VBmin</t>
  </si>
  <si>
    <t>20.Readout margin</t>
  </si>
  <si>
    <t>21.PixelFormat</t>
  </si>
  <si>
    <t>22.Default exposureTime</t>
  </si>
  <si>
    <t>23.Default pic_width</t>
  </si>
  <si>
    <t>24.Default pic_height</t>
  </si>
  <si>
    <t>25.Default FrameRate</t>
  </si>
  <si>
    <t>参数</t>
  </si>
  <si>
    <t>描述</t>
  </si>
  <si>
    <t>默认值</t>
  </si>
  <si>
    <t>用户值
dec</t>
  </si>
  <si>
    <t>单位</t>
  </si>
  <si>
    <t>公式</t>
  </si>
  <si>
    <t>计算值</t>
  </si>
  <si>
    <t>推算值
dec</t>
  </si>
  <si>
    <t>gmax0505</t>
  </si>
  <si>
    <t>像素格式(8/12)</t>
  </si>
  <si>
    <t>img_row_time</t>
  </si>
  <si>
    <t>图像行周期NROT</t>
  </si>
  <si>
    <t>1000*Nline*LINE_U_LENGTH/freq_pix_clk</t>
  </si>
  <si>
    <t>ns</t>
  </si>
  <si>
    <t>freq_pix_clk</t>
  </si>
  <si>
    <t>像素时钟频率</t>
  </si>
  <si>
    <t>参见映射关系表</t>
  </si>
  <si>
    <t>MHz</t>
  </si>
  <si>
    <t>pixel_format</t>
  </si>
  <si>
    <t>-</t>
  </si>
  <si>
    <t>frame_time</t>
  </si>
  <si>
    <t>帧周期</t>
  </si>
  <si>
    <t>max(readout_period_time,exp_period_time,tp_limit_period_time,fps_limit_period_time)</t>
  </si>
  <si>
    <t>us</t>
  </si>
  <si>
    <t>LINE_U_LENGTH</t>
  </si>
  <si>
    <t>pixel</t>
  </si>
  <si>
    <t>frame_freq</t>
  </si>
  <si>
    <t>1000000/frame_time</t>
  </si>
  <si>
    <t>fps</t>
  </si>
  <si>
    <t>Tfot</t>
  </si>
  <si>
    <t>FOT时间</t>
  </si>
  <si>
    <t>exp_time</t>
  </si>
  <si>
    <t>决定帧周期的四个变量</t>
  </si>
  <si>
    <t>Nline</t>
  </si>
  <si>
    <t>行周期计算系数</t>
  </si>
  <si>
    <t>exp_delay</t>
  </si>
  <si>
    <t>readout_period_time</t>
  </si>
  <si>
    <t>读出时间决定的帧周期</t>
  </si>
  <si>
    <t>ROUNDUP(((Height+VBmin+Readout margin)*img_row_time+Tfot)/1000,0)</t>
  </si>
  <si>
    <t>VBmin</t>
  </si>
  <si>
    <t>最小帧消隐行数</t>
  </si>
  <si>
    <t>line</t>
  </si>
  <si>
    <t>触发延时</t>
  </si>
  <si>
    <t>exp_period_time</t>
  </si>
  <si>
    <t>曝光时间决定的帧周期</t>
  </si>
  <si>
    <t>roundup(ExposureTime+exp_start_delay+exp_end_delay+Tfot)</t>
  </si>
  <si>
    <t>exp_start_dly_line</t>
  </si>
  <si>
    <t>曝光开始延迟</t>
  </si>
  <si>
    <t>trig_delay</t>
  </si>
  <si>
    <t>触发延迟</t>
  </si>
  <si>
    <t>fps_limit_period_time</t>
  </si>
  <si>
    <t>帧率限制帧周期</t>
  </si>
  <si>
    <t>ROUNDUP((1000000/fps_limit_value)*fps_limit,0)</t>
  </si>
  <si>
    <t>exp_end_dly_clk</t>
  </si>
  <si>
    <t>曝光结束延迟</t>
  </si>
  <si>
    <t>clk</t>
  </si>
  <si>
    <t>ROI</t>
  </si>
  <si>
    <t>tp_limit_period_time</t>
  </si>
  <si>
    <t>带宽限制帧周期</t>
  </si>
  <si>
    <t>bandwidth_limit_period_time</t>
  </si>
  <si>
    <t>tp_row_num</t>
  </si>
  <si>
    <t>行暂停时间</t>
  </si>
  <si>
    <t>水平偏移</t>
  </si>
  <si>
    <t>OffsetX</t>
  </si>
  <si>
    <t>sensor相关信息</t>
  </si>
  <si>
    <t>Readout margin</t>
  </si>
  <si>
    <t>读出时间边界预留</t>
  </si>
  <si>
    <t>垂直偏移</t>
  </si>
  <si>
    <t>OffsetY</t>
  </si>
  <si>
    <t>实际曝光时间</t>
  </si>
  <si>
    <t>ROUNDUP((1000*ExposureTime-1000*tp_row_num/freq_pix_clk)/1000,0)</t>
  </si>
  <si>
    <t>Gige Vision参数</t>
  </si>
  <si>
    <t>exp_delay_line_num</t>
  </si>
  <si>
    <t>曝光延迟时间</t>
  </si>
  <si>
    <t>ExposureDelay</t>
  </si>
  <si>
    <t>judgment of risky duration</t>
  </si>
  <si>
    <t>判断下帧曝光是否落到风险区</t>
  </si>
  <si>
    <t>IF((frame_time-exp_time)&lt;readout_period_time,IF((frame_time-exp_time)&gt;=(readout_period_time-6*ROUNDUP(img_row_time/1000,0)),1,0),0)</t>
  </si>
  <si>
    <t>preamble</t>
  </si>
  <si>
    <t>前导符</t>
  </si>
  <si>
    <t>固定为7byte</t>
  </si>
  <si>
    <t>byte</t>
  </si>
  <si>
    <t>chunk</t>
  </si>
  <si>
    <t>exp risky delay time</t>
  </si>
  <si>
    <t>由风险区导致的下帧曝光延迟时间</t>
  </si>
  <si>
    <t>IF(judgment of risky duration=1,readout_period_time-(frame_time-exp_time),0)</t>
  </si>
  <si>
    <t>sfd</t>
  </si>
  <si>
    <t>起始帧分界符</t>
  </si>
  <si>
    <t>固定为1byte</t>
  </si>
  <si>
    <t>帧信息使能</t>
  </si>
  <si>
    <t>ChunkModeActive</t>
  </si>
  <si>
    <t>预估带宽</t>
  </si>
  <si>
    <t>eth_header</t>
  </si>
  <si>
    <t>以太网协议头</t>
  </si>
  <si>
    <t>目的地址6byte+源地址6byte+以太网类型2byte</t>
  </si>
  <si>
    <t>带宽控制</t>
  </si>
  <si>
    <t>Image effective bandwidth</t>
  </si>
  <si>
    <t>图像有效带宽</t>
  </si>
  <si>
    <t>frame_freq*image_size</t>
  </si>
  <si>
    <t>Byte/s</t>
  </si>
  <si>
    <t>ip_header</t>
  </si>
  <si>
    <t>ip协议头</t>
  </si>
  <si>
    <t>固定为20byte</t>
  </si>
  <si>
    <t>网络连接速度</t>
  </si>
  <si>
    <t>GevLinkSpeed</t>
  </si>
  <si>
    <t>Mbit/s</t>
  </si>
  <si>
    <t>Transport total value</t>
  </si>
  <si>
    <t>传输总带宽</t>
  </si>
  <si>
    <t>frame_freq*frame_packet_size</t>
  </si>
  <si>
    <t>udp_header</t>
  </si>
  <si>
    <t>udp协议头</t>
  </si>
  <si>
    <t>固定为8byte</t>
  </si>
  <si>
    <t>FPGA寄存器</t>
  </si>
  <si>
    <t>流通道包长
(指的是以太网的负载包长 范围:512-16384)
该数值包含协议开销综合I，不包II</t>
  </si>
  <si>
    <t>Transport theoretical value</t>
  </si>
  <si>
    <t>传输理论带宽</t>
  </si>
  <si>
    <t>1250*GevLinkSpeed*(100-BandwidthReserve)</t>
  </si>
  <si>
    <t>gigev_header</t>
  </si>
  <si>
    <t>gige vision协议头</t>
  </si>
  <si>
    <t>寄存器</t>
  </si>
  <si>
    <t>地址hex</t>
  </si>
  <si>
    <t>推算值
hex</t>
  </si>
  <si>
    <t>最大包间隔</t>
  </si>
  <si>
    <t>fcs</t>
  </si>
  <si>
    <t>CRC校验</t>
  </si>
  <si>
    <t>固定为4byte</t>
  </si>
  <si>
    <t>gmax_exposure_delay</t>
  </si>
  <si>
    <t>0x77601654</t>
  </si>
  <si>
    <t>gmax系列相机曝光延时，仅用于配合闪光灯补光使用，单位是us。</t>
  </si>
  <si>
    <t>%</t>
  </si>
  <si>
    <t>Max gevSCPD</t>
  </si>
  <si>
    <t>最大包间隔时间</t>
  </si>
  <si>
    <t>IF(ROUNDDOWN((eth_valid_bandwidth-(frame_packet_size+leader_packet_size+trailer_packet_size))/(complete_packet_num+incomplete_packet_num+2),0)&lt;180000,ROUNDDOWN((eth_valid_bandwidth-(frame_packet_size+leader_packet_size+trailer_packet_size))/(complete_packet_num+incomplete_packet_num+2),0),180000)</t>
  </si>
  <si>
    <t>ifg_min</t>
  </si>
  <si>
    <t>最小帧间隔</t>
  </si>
  <si>
    <t>固定为12byte</t>
  </si>
  <si>
    <t>gmax_exposure_time</t>
  </si>
  <si>
    <t>0x77601658</t>
  </si>
  <si>
    <t>gmax系列相机从模式曝光时间，单位是us</t>
  </si>
  <si>
    <t>最大预留带宽</t>
  </si>
  <si>
    <t>header_in_payload</t>
  </si>
  <si>
    <t>协议开销总和I:以太网负载部分的协议开销</t>
  </si>
  <si>
    <t>ip_header+udp_header+gigev_header</t>
  </si>
  <si>
    <t>gmax_trigger_interval_cont</t>
  </si>
  <si>
    <t>0x7760165c</t>
  </si>
  <si>
    <t xml:space="preserve">gmax系列相机触发间隔-连续模式，表示帧周期，单位是us。 </t>
  </si>
  <si>
    <t>采集帧率调节模式(0/1)</t>
  </si>
  <si>
    <t>AcquisitionFrameRateMode</t>
  </si>
  <si>
    <t>Max BandwidthReserve</t>
  </si>
  <si>
    <t>IF((100-ROUNDDOWN(10*eth_valid_bandwidth/(125000*GevLinkSpeed),0)-1)&lt;0,0,(100-ROUNDDOWN(10*eth_valid_bandwidth/(125000*GevLinkSpeed),0)-1))</t>
  </si>
  <si>
    <t>eth_protocol_byte</t>
  </si>
  <si>
    <t>协议开销总和II:以太网协议开销</t>
  </si>
  <si>
    <t>preamble+sfd+eth_header+fcs</t>
  </si>
  <si>
    <t>gmax_trigger_interval_trig</t>
  </si>
  <si>
    <t>0x77601850</t>
  </si>
  <si>
    <t xml:space="preserve">gmax系列相机触发间隔-触发模式，表示帧周期，单位是us。 </t>
  </si>
  <si>
    <t>AcquisitionFrameRate</t>
  </si>
  <si>
    <t>data_size_min</t>
  </si>
  <si>
    <t>数据包长最小值</t>
  </si>
  <si>
    <t>64-eth_header-fcs-header_in_payload</t>
  </si>
  <si>
    <t>gmax_readout_time</t>
  </si>
  <si>
    <t>0x7760185C</t>
  </si>
  <si>
    <t>gmax系列相机读出时间，表示图像传输时间，单位是us。</t>
  </si>
  <si>
    <t>Skipping</t>
  </si>
  <si>
    <t>帧周期参数-GIGE</t>
  </si>
  <si>
    <t>gmax_risky_start</t>
  </si>
  <si>
    <t>0x77601860</t>
  </si>
  <si>
    <t>gmax系列相机风险区范围，单位是us。</t>
  </si>
  <si>
    <t>Height+tp_row_num+4</t>
  </si>
  <si>
    <t>水平Skipping</t>
  </si>
  <si>
    <t>Horizontal Skipping</t>
  </si>
  <si>
    <t>param_cfg_done</t>
  </si>
  <si>
    <t>0x77601500</t>
  </si>
  <si>
    <t>1:成组生效寄存器设置完成</t>
  </si>
  <si>
    <t>0x1</t>
  </si>
  <si>
    <t>垂直Skipping</t>
  </si>
  <si>
    <t>Vertical Skipping</t>
  </si>
  <si>
    <t>leader_size</t>
  </si>
  <si>
    <r>
      <rPr>
        <sz val="11"/>
        <rFont val="宋体"/>
        <charset val="134"/>
        <scheme val="minor"/>
      </rPr>
      <t>leader长度</t>
    </r>
    <r>
      <rPr>
        <sz val="11"/>
        <rFont val="宋体"/>
        <charset val="134"/>
        <scheme val="minor"/>
      </rPr>
      <t>（净长）</t>
    </r>
  </si>
  <si>
    <t>chunk off:36
chunk on:12</t>
  </si>
  <si>
    <t>roi_line_hide</t>
  </si>
  <si>
    <t>0x7760147C</t>
  </si>
  <si>
    <t>水平行消隐，单位是clk_pix</t>
  </si>
  <si>
    <t>ROUNDUP(img_row_time*freq_pix_clk/1000,0)-Width/phy num/phy ch num</t>
  </si>
  <si>
    <t>binning</t>
  </si>
  <si>
    <t>trailer_size</t>
  </si>
  <si>
    <t>trailer长度（净长）</t>
  </si>
  <si>
    <t>实际上trailer大小是8byte，为了和64byte的以太网包对齐，此处写为10byte</t>
  </si>
  <si>
    <t>水平binning</t>
  </si>
  <si>
    <t>Horizontal binning</t>
  </si>
  <si>
    <t>image_size</t>
  </si>
  <si>
    <t>传输图像大小（净长）</t>
  </si>
  <si>
    <t>Height*Width*n，if pixel format = 8bit，n=1，else n=2</t>
  </si>
  <si>
    <t>垂直binning</t>
  </si>
  <si>
    <t>Vertical binning</t>
  </si>
  <si>
    <t>image_chunk_size</t>
  </si>
  <si>
    <t>图像+chunk大小（净长）</t>
  </si>
  <si>
    <t>image_size+32*chunk_mode_active</t>
  </si>
  <si>
    <t>complete_packet_num</t>
  </si>
  <si>
    <t>完整包个数</t>
  </si>
  <si>
    <t>int(image_chunk_size/(GevSCPSPacketSize-header_in_payload))</t>
  </si>
  <si>
    <t>F</t>
  </si>
  <si>
    <t>incomplete_packet_size</t>
  </si>
  <si>
    <t>残包大小（净长）</t>
  </si>
  <si>
    <t>image_chunk_size-(GevSCPSPacketSize-header_in_payload)*complete_packet_num</t>
  </si>
  <si>
    <t>incomplete_packet_num</t>
  </si>
  <si>
    <t>残包个数</t>
  </si>
  <si>
    <t>if(incomplete_packet_size=0,0,1)</t>
  </si>
  <si>
    <t>incomplete_packet_size_min</t>
  </si>
  <si>
    <t>经过最小包长判断之后的残包大小（净长）</t>
  </si>
  <si>
    <t>残包大小最少要是64byte
if(incomplete_packet_size&lt;data_size_min,data_size_min,incomplete_packet_size)</t>
  </si>
  <si>
    <t>leader_packet_size</t>
  </si>
  <si>
    <t>以太网传输leader包的大小（包含全部协议开销）</t>
  </si>
  <si>
    <t>eth_protocol_byte+header_in_payload+leader_size</t>
  </si>
  <si>
    <t>trailer_packet_size</t>
  </si>
  <si>
    <t>以太网传输trailer包的大小（包含全部协议开销）</t>
  </si>
  <si>
    <t>eth_protocol_byte+header_in_payload+trailer_size</t>
  </si>
  <si>
    <t>frame_packet_size</t>
  </si>
  <si>
    <t>以太网传输image和chunk的大小（包含全部协议开销）</t>
  </si>
  <si>
    <t>complete_packet_num*(GevSCPSPacketSize+eth_protocol_byte)+incomplete_packet_num*(incomplete_packet_size_min+eth_protocol_byte+header_in_payload)</t>
  </si>
  <si>
    <t>all_packet_gap</t>
  </si>
  <si>
    <t>所有的帧间隔
（前导码和CRC校验已经在计算开销II时加过一次，这里只对最小帧间隔进行计算）</t>
  </si>
  <si>
    <t>(leader+trailer+incomplete_packet_num+complete_packet_num)*(GevSCPD,ifg_min)</t>
  </si>
  <si>
    <t>frame_size</t>
  </si>
  <si>
    <t>传输图像尺寸（包含全部协议开销与包间隔）</t>
  </si>
  <si>
    <t>leader_packet_size+trailer_packet_size+frame_packet_size+all_packet_gap</t>
  </si>
  <si>
    <t>eth_valid_bandwidth</t>
  </si>
  <si>
    <t>以太网有效传输带宽</t>
  </si>
  <si>
    <t>int(link_speed*(100-BandwidthReserve)*10/100/8)</t>
  </si>
  <si>
    <t>byte/10s</t>
  </si>
  <si>
    <t>backend_limit_period_time</t>
  </si>
  <si>
    <t>后端传输限制的帧周期</t>
  </si>
  <si>
    <t>ROUNDUP(ROUNDUP(1000000*frame_size/eth_valid_bandwidth*10)</t>
  </si>
  <si>
    <t>包间隔参数</t>
  </si>
  <si>
    <t>Copper packet gap set byte num</t>
  </si>
  <si>
    <t>用户设置的包间隔转译为铜线端传输对应的字节数</t>
  </si>
  <si>
    <t xml:space="preserve">MAX(ROUNDUP(GevSCPD*GevLinkSpeed/1000/8,0),ifg_min+8)        </t>
  </si>
  <si>
    <t>Byte</t>
  </si>
  <si>
    <t>Max gevSCPD byte num</t>
  </si>
  <si>
    <t>最大包间隔数据量（对应铜线端）</t>
  </si>
  <si>
    <t>ROUNDDOWN((1000000*eth_valid_bandwidth-(frame_packet_size+leader_packet_size+trailer_packet_size))/(complete_packet_num+incomplete_packet_num+2),0)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</si>
</sst>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rgb="FFFFFF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FF00"/>
      <name val="宋体"/>
      <charset val="134"/>
      <scheme val="minor"/>
    </font>
    <font>
      <sz val="11"/>
      <name val="宋体"/>
      <charset val="134"/>
      <scheme val="minor"/>
    </font>
    <font>
      <sz val="11"/>
      <name val="等线"/>
      <charset val="134"/>
    </font>
    <font>
      <sz val="11"/>
      <color theme="1"/>
      <name val="等线"/>
      <charset val="134"/>
    </font>
    <font>
      <b/>
      <sz val="11"/>
      <color theme="0"/>
      <name val="等线"/>
      <charset val="134"/>
    </font>
    <font>
      <b/>
      <sz val="18"/>
      <color theme="0"/>
      <name val="等线"/>
      <charset val="134"/>
    </font>
    <font>
      <b/>
      <sz val="18"/>
      <color theme="0"/>
      <name val="华文细黑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670400097659"/>
        <bgColor indexed="64"/>
      </patternFill>
    </fill>
    <fill>
      <patternFill patternType="solid">
        <fgColor theme="8" tint="0.399639881588183"/>
        <bgColor indexed="64"/>
      </patternFill>
    </fill>
    <fill>
      <patternFill patternType="solid">
        <fgColor theme="5" tint="0.399670400097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670400097659"/>
        <bgColor indexed="64"/>
      </patternFill>
    </fill>
    <fill>
      <patternFill patternType="solid">
        <fgColor theme="7" tint="0.39967040009765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6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0" borderId="39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21" borderId="37" applyNumberFormat="0" applyAlignment="0" applyProtection="0">
      <alignment vertical="center"/>
    </xf>
    <xf numFmtId="0" fontId="16" fillId="21" borderId="34" applyNumberFormat="0" applyAlignment="0" applyProtection="0">
      <alignment vertical="center"/>
    </xf>
    <xf numFmtId="0" fontId="12" fillId="15" borderId="3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145">
    <xf numFmtId="0" fontId="0" fillId="0" borderId="0" xfId="0">
      <alignment vertical="center"/>
    </xf>
    <xf numFmtId="0" fontId="0" fillId="0" borderId="0" xfId="52" applyAlignment="1">
      <alignment horizontal="left" vertical="center" wrapText="1"/>
    </xf>
    <xf numFmtId="0" fontId="1" fillId="2" borderId="1" xfId="50" applyFont="1" applyFill="1" applyBorder="1" applyAlignment="1" applyProtection="1">
      <alignment horizontal="left" vertical="center" wrapText="1"/>
    </xf>
    <xf numFmtId="0" fontId="1" fillId="2" borderId="1" xfId="5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52" applyFont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49" applyFont="1" applyFill="1" applyBorder="1" applyProtection="1">
      <alignment vertical="center"/>
    </xf>
    <xf numFmtId="0" fontId="1" fillId="2" borderId="1" xfId="49" applyFont="1" applyFill="1" applyBorder="1" applyAlignment="1" applyProtection="1">
      <alignment horizontal="left" vertical="center"/>
      <protection locked="0"/>
    </xf>
    <xf numFmtId="0" fontId="3" fillId="2" borderId="1" xfId="5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176" fontId="3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50" applyFont="1" applyFill="1" applyBorder="1" applyAlignment="1" applyProtection="1">
      <alignment horizontal="center" vertical="center" wrapText="1"/>
    </xf>
    <xf numFmtId="0" fontId="1" fillId="2" borderId="3" xfId="50" applyFont="1" applyFill="1" applyBorder="1" applyAlignment="1" applyProtection="1">
      <alignment horizontal="center" vertical="center" wrapText="1"/>
    </xf>
    <xf numFmtId="0" fontId="0" fillId="0" borderId="0" xfId="52"/>
    <xf numFmtId="0" fontId="4" fillId="3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6" borderId="8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9" borderId="9" xfId="0" applyFill="1" applyBorder="1" applyAlignment="1">
      <alignment vertical="center" wrapText="1"/>
    </xf>
    <xf numFmtId="0" fontId="5" fillId="10" borderId="1" xfId="0" applyFont="1" applyFill="1" applyBorder="1" applyAlignment="1">
      <alignment horizontal="left" vertical="center" wrapText="1"/>
    </xf>
    <xf numFmtId="2" fontId="5" fillId="10" borderId="1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10" borderId="1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" xfId="51" applyFont="1" applyFill="1" applyBorder="1" applyAlignment="1" applyProtection="1">
      <alignment vertical="center"/>
    </xf>
    <xf numFmtId="0" fontId="5" fillId="0" borderId="1" xfId="51" applyFont="1" applyFill="1" applyBorder="1" applyAlignment="1" applyProtection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51" applyFont="1" applyFill="1" applyBorder="1" applyAlignment="1" applyProtection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0" fillId="9" borderId="9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vertical="center" wrapText="1"/>
    </xf>
    <xf numFmtId="0" fontId="2" fillId="8" borderId="16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8" borderId="17" xfId="0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11" borderId="21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1" borderId="11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8" fillId="12" borderId="5" xfId="0" applyFont="1" applyFill="1" applyBorder="1" applyAlignment="1" applyProtection="1">
      <alignment horizontal="left" vertical="center"/>
    </xf>
    <xf numFmtId="0" fontId="8" fillId="12" borderId="6" xfId="0" applyFont="1" applyFill="1" applyBorder="1" applyAlignment="1" applyProtection="1">
      <alignment horizontal="left" vertical="center"/>
    </xf>
    <xf numFmtId="0" fontId="8" fillId="12" borderId="7" xfId="0" applyFont="1" applyFill="1" applyBorder="1" applyAlignment="1" applyProtection="1">
      <alignment horizontal="left" vertical="center"/>
    </xf>
    <xf numFmtId="0" fontId="9" fillId="12" borderId="15" xfId="0" applyFont="1" applyFill="1" applyBorder="1" applyAlignment="1" applyProtection="1">
      <alignment vertical="center"/>
    </xf>
    <xf numFmtId="0" fontId="9" fillId="12" borderId="16" xfId="0" applyFont="1" applyFill="1" applyBorder="1" applyAlignment="1" applyProtection="1">
      <alignment horizontal="left" vertical="center"/>
    </xf>
    <xf numFmtId="176" fontId="9" fillId="12" borderId="16" xfId="0" applyNumberFormat="1" applyFont="1" applyFill="1" applyBorder="1" applyAlignment="1" applyProtection="1">
      <alignment horizontal="left" vertical="center"/>
    </xf>
    <xf numFmtId="176" fontId="9" fillId="12" borderId="17" xfId="0" applyNumberFormat="1" applyFont="1" applyFill="1" applyBorder="1" applyAlignment="1" applyProtection="1">
      <alignment horizontal="left" vertical="center"/>
    </xf>
    <xf numFmtId="176" fontId="10" fillId="12" borderId="16" xfId="0" applyNumberFormat="1" applyFont="1" applyFill="1" applyBorder="1" applyAlignment="1" applyProtection="1">
      <alignment horizontal="left" vertical="center"/>
    </xf>
    <xf numFmtId="176" fontId="10" fillId="12" borderId="17" xfId="0" applyNumberFormat="1" applyFont="1" applyFill="1" applyBorder="1" applyAlignment="1" applyProtection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" xfId="51" applyFont="1" applyFill="1" applyBorder="1" applyAlignment="1" applyProtection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51" applyFont="1" applyFill="1" applyBorder="1" applyAlignment="1" applyProtection="1">
      <alignment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0" fontId="0" fillId="10" borderId="1" xfId="0" applyNumberFormat="1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8" borderId="1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13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19</xdr:col>
      <xdr:colOff>358027</xdr:colOff>
      <xdr:row>54</xdr:row>
      <xdr:rowOff>493059</xdr:rowOff>
    </xdr:from>
    <xdr:to>
      <xdr:col>27</xdr:col>
      <xdr:colOff>11206</xdr:colOff>
      <xdr:row>57</xdr:row>
      <xdr:rowOff>582706</xdr:rowOff>
    </xdr:to>
    <xdr:sp>
      <xdr:nvSpPr>
        <xdr:cNvPr id="2" name="文本框 1"/>
        <xdr:cNvSpPr txBox="1"/>
      </xdr:nvSpPr>
      <xdr:spPr>
        <a:xfrm>
          <a:off x="25570180" y="3835400"/>
          <a:ext cx="872109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曝光时间的设置只与</a:t>
          </a:r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FPGA</a:t>
          </a: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有关系</a:t>
          </a:r>
          <a:r>
            <a:rPr lang="zh-CN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zh-CN" sz="1100"/>
            <a:t>ROI</a:t>
          </a:r>
          <a:r>
            <a:rPr lang="zh-CN" altLang="en-US" sz="1100"/>
            <a:t>设置与</a:t>
          </a:r>
          <a:r>
            <a:rPr lang="en-US" altLang="zh-CN" sz="1100"/>
            <a:t>Sensor</a:t>
          </a:r>
          <a:r>
            <a:rPr lang="zh-CN" altLang="en-US" sz="1100"/>
            <a:t>和</a:t>
          </a:r>
          <a:r>
            <a:rPr lang="en-US" altLang="zh-CN" sz="1100"/>
            <a:t>FPGA</a:t>
          </a:r>
          <a:r>
            <a:rPr lang="zh-CN" altLang="en-US" sz="1100"/>
            <a:t>的寄存器都有关系</a:t>
          </a:r>
          <a:endParaRPr lang="en-US" altLang="zh-CN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zh-CN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曝光时间</a:t>
          </a:r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</a:t>
          </a:r>
          <a:endParaRPr lang="zh-CN" altLang="zh-CN">
            <a:effectLst/>
          </a:endParaRPr>
        </a:p>
        <a:p>
          <a:r>
            <a:rPr lang="en-US" altLang="zh-CN" sz="1100"/>
            <a:t>1.1 FPGA</a:t>
          </a:r>
          <a:r>
            <a:rPr lang="zh-CN" altLang="en-US" sz="1100"/>
            <a:t>中的曝光时间寄存器、曝光延迟寄存器和触发间隔寄存器与曝光时间有关</a:t>
          </a:r>
          <a:endParaRPr lang="en-US" altLang="zh-CN" sz="1100"/>
        </a:p>
        <a:p>
          <a:r>
            <a:rPr lang="en-US" altLang="zh-CN" sz="1100"/>
            <a:t>1.2</a:t>
          </a:r>
          <a:r>
            <a:rPr lang="en-US" altLang="zh-CN" sz="1100" baseline="0"/>
            <a:t> </a:t>
          </a:r>
          <a:r>
            <a:rPr lang="zh-CN" altLang="en-US" sz="1100" baseline="0"/>
            <a:t>这三组寄存器设置完之后才能设置</a:t>
          </a:r>
          <a:r>
            <a:rPr lang="en-US" altLang="zh-CN" sz="1100" baseline="0"/>
            <a:t>FPGA</a:t>
          </a:r>
          <a:r>
            <a:rPr lang="zh-CN" altLang="en-US" sz="1100" baseline="0"/>
            <a:t>的成组生效</a:t>
          </a:r>
          <a:endParaRPr lang="en-US" altLang="zh-CN" sz="1100"/>
        </a:p>
        <a:p>
          <a:endParaRPr lang="en-US" altLang="zh-CN" sz="1100"/>
        </a:p>
        <a:p>
          <a:r>
            <a:rPr lang="en-US" altLang="zh-CN" sz="1100"/>
            <a:t>***ROI***</a:t>
          </a:r>
          <a:endParaRPr lang="en-US" altLang="zh-CN" sz="1100"/>
        </a:p>
        <a:p>
          <a:r>
            <a:rPr lang="en-US" altLang="zh-CN" sz="1100">
              <a:solidFill>
                <a:sysClr val="windowText" lastClr="000000"/>
              </a:solidFill>
            </a:rPr>
            <a:t>2.1 Sensor</a:t>
          </a:r>
          <a:r>
            <a:rPr lang="zh-CN" altLang="en-US" sz="1100">
              <a:solidFill>
                <a:sysClr val="windowText" lastClr="000000"/>
              </a:solidFill>
            </a:rPr>
            <a:t>中与</a:t>
          </a:r>
          <a:r>
            <a:rPr lang="en-US" altLang="zh-CN" sz="1100">
              <a:solidFill>
                <a:sysClr val="windowText" lastClr="000000"/>
              </a:solidFill>
            </a:rPr>
            <a:t>ROI</a:t>
          </a:r>
          <a:r>
            <a:rPr lang="zh-CN" altLang="en-US" sz="1100">
              <a:solidFill>
                <a:sysClr val="windowText" lastClr="000000"/>
              </a:solidFill>
            </a:rPr>
            <a:t>相关的有</a:t>
          </a:r>
          <a:r>
            <a:rPr lang="en-US" altLang="zh-CN" sz="1100">
              <a:solidFill>
                <a:sysClr val="windowText" lastClr="000000"/>
              </a:solidFill>
            </a:rPr>
            <a:t>4</a:t>
          </a:r>
          <a:r>
            <a:rPr lang="zh-CN" altLang="en-US" sz="1100">
              <a:solidFill>
                <a:sysClr val="windowText" lastClr="000000"/>
              </a:solidFill>
            </a:rPr>
            <a:t>个寄存器，相关寄存器设置请参考</a:t>
          </a:r>
          <a:r>
            <a:rPr lang="en-US" altLang="zh-CN" sz="1100">
              <a:solidFill>
                <a:sysClr val="windowText" lastClr="000000"/>
              </a:solidFill>
            </a:rPr>
            <a:t>ROI-slave sheet</a:t>
          </a:r>
          <a:r>
            <a:rPr lang="zh-CN" altLang="en-US" sz="1100">
              <a:solidFill>
                <a:sysClr val="windowText" lastClr="000000"/>
              </a:solidFill>
            </a:rPr>
            <a:t>页</a:t>
          </a:r>
          <a:endParaRPr lang="en-US" altLang="zh-CN" sz="1100">
            <a:solidFill>
              <a:sysClr val="windowText" lastClr="000000"/>
            </a:solidFill>
          </a:endParaRPr>
        </a:p>
        <a:p>
          <a:r>
            <a:rPr lang="en-US" altLang="zh-CN" sz="1100">
              <a:solidFill>
                <a:sysClr val="windowText" lastClr="000000"/>
              </a:solidFill>
            </a:rPr>
            <a:t>2.2 ROI</a:t>
          </a:r>
          <a:r>
            <a:rPr lang="zh-CN" altLang="en-US" sz="1100">
              <a:solidFill>
                <a:sysClr val="windowText" lastClr="000000"/>
              </a:solidFill>
            </a:rPr>
            <a:t>功能可能会影响到</a:t>
          </a:r>
          <a:r>
            <a:rPr lang="en-US" altLang="zh-CN" sz="1100">
              <a:solidFill>
                <a:sysClr val="windowText" lastClr="000000"/>
              </a:solidFill>
            </a:rPr>
            <a:t>FPGA</a:t>
          </a:r>
          <a:r>
            <a:rPr lang="zh-CN" altLang="en-US" sz="1100">
              <a:solidFill>
                <a:sysClr val="windowText" lastClr="000000"/>
              </a:solidFill>
            </a:rPr>
            <a:t>的触发间隔寄存器，如果修改了</a:t>
          </a:r>
          <a:r>
            <a:rPr lang="en-US" altLang="zh-CN" sz="1100">
              <a:solidFill>
                <a:sysClr val="windowText" lastClr="000000"/>
              </a:solidFill>
            </a:rPr>
            <a:t>FPGA</a:t>
          </a:r>
          <a:r>
            <a:rPr lang="zh-CN" altLang="en-US" sz="1100">
              <a:solidFill>
                <a:sysClr val="windowText" lastClr="000000"/>
              </a:solidFill>
            </a:rPr>
            <a:t>的触发间隔寄存器，需要设置</a:t>
          </a:r>
          <a:r>
            <a:rPr lang="en-US" altLang="zh-CN" sz="1100">
              <a:solidFill>
                <a:sysClr val="windowText" lastClr="000000"/>
              </a:solidFill>
            </a:rPr>
            <a:t>FPGA</a:t>
          </a:r>
          <a:r>
            <a:rPr lang="zh-CN" altLang="en-US" sz="1100">
              <a:solidFill>
                <a:sysClr val="windowText" lastClr="000000"/>
              </a:solidFill>
            </a:rPr>
            <a:t>的成组生</a:t>
          </a:r>
          <a:endParaRPr lang="en-US" altLang="zh-CN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8"/>
  <sheetViews>
    <sheetView tabSelected="1" workbookViewId="0">
      <selection activeCell="G30" sqref="G30"/>
    </sheetView>
  </sheetViews>
  <sheetFormatPr defaultColWidth="9" defaultRowHeight="13.5" outlineLevelRow="7" outlineLevelCol="2"/>
  <cols>
    <col min="2" max="2" width="27.5" customWidth="1"/>
    <col min="3" max="3" width="10.75" customWidth="1"/>
  </cols>
  <sheetData>
    <row r="1" spans="1:3">
      <c r="A1" s="142" t="s">
        <v>0</v>
      </c>
      <c r="B1" s="143" t="s">
        <v>1</v>
      </c>
      <c r="C1" s="142" t="s">
        <v>2</v>
      </c>
    </row>
    <row r="2" ht="35" customHeight="1" spans="1:3">
      <c r="A2" s="142" t="s">
        <v>3</v>
      </c>
      <c r="B2" s="142" t="s">
        <v>4</v>
      </c>
      <c r="C2" s="144">
        <v>44980</v>
      </c>
    </row>
    <row r="3" spans="1:3">
      <c r="A3" s="142"/>
      <c r="B3" s="142"/>
      <c r="C3" s="142"/>
    </row>
    <row r="4" spans="1:3">
      <c r="A4" s="142"/>
      <c r="B4" s="142"/>
      <c r="C4" s="142"/>
    </row>
    <row r="5" spans="1:3">
      <c r="A5" s="142"/>
      <c r="B5" s="142"/>
      <c r="C5" s="142"/>
    </row>
    <row r="6" spans="1:3">
      <c r="A6" s="142"/>
      <c r="B6" s="142"/>
      <c r="C6" s="142"/>
    </row>
    <row r="7" spans="1:3">
      <c r="A7" s="142"/>
      <c r="B7" s="142"/>
      <c r="C7" s="142"/>
    </row>
    <row r="8" spans="1:3">
      <c r="A8" s="142"/>
      <c r="B8" s="142"/>
      <c r="C8" s="142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S94"/>
  <sheetViews>
    <sheetView workbookViewId="0">
      <selection activeCell="C4" sqref="C4"/>
    </sheetView>
  </sheetViews>
  <sheetFormatPr defaultColWidth="9" defaultRowHeight="13.5"/>
  <cols>
    <col min="1" max="1" width="20" style="1" customWidth="1"/>
    <col min="2" max="2" width="29" style="1" customWidth="1"/>
    <col min="3" max="3" width="19" style="1" customWidth="1"/>
    <col min="4" max="4" width="23.125" style="1" customWidth="1"/>
    <col min="5" max="5" width="19" style="1" customWidth="1"/>
    <col min="6" max="7" width="10" style="1" customWidth="1"/>
    <col min="8" max="8" width="6.125" style="1" customWidth="1"/>
    <col min="9" max="9" width="15.125" style="1" customWidth="1"/>
    <col min="10" max="10" width="24.5" style="1" customWidth="1"/>
    <col min="11" max="11" width="28.625" style="1" customWidth="1"/>
    <col min="12" max="12" width="16.125" style="1" customWidth="1"/>
    <col min="13" max="13" width="7.5" style="1" customWidth="1"/>
    <col min="14" max="14" width="4.5" style="1" customWidth="1"/>
    <col min="15" max="15" width="19.625" style="1" customWidth="1"/>
    <col min="16" max="16" width="27.25" style="1" customWidth="1"/>
    <col min="17" max="17" width="29" style="1" customWidth="1"/>
    <col min="18" max="18" width="12.75" style="1" customWidth="1"/>
    <col min="19" max="19" width="9.625" style="1" customWidth="1"/>
    <col min="20" max="20" width="4.875" style="1" customWidth="1"/>
    <col min="21" max="21" width="17" style="1" customWidth="1"/>
    <col min="22" max="23" width="15.625" style="1" customWidth="1"/>
    <col min="24" max="24" width="15.75" style="1" customWidth="1"/>
    <col min="25" max="25" width="16.375" style="1" customWidth="1"/>
    <col min="26" max="26" width="18.875" style="1" customWidth="1"/>
    <col min="27" max="27" width="14.875" style="1" customWidth="1"/>
    <col min="28" max="28" width="15.25" style="1" customWidth="1"/>
    <col min="29" max="29" width="20.5" style="1" customWidth="1"/>
    <col min="30" max="30" width="22" style="1" customWidth="1"/>
    <col min="31" max="31" width="21.625" style="1" customWidth="1"/>
    <col min="32" max="32" width="20.625" style="1" customWidth="1"/>
    <col min="33" max="33" width="10" style="1" customWidth="1"/>
    <col min="34" max="34" width="9.75" style="1" customWidth="1"/>
    <col min="35" max="35" width="13.25" style="1" customWidth="1"/>
    <col min="36" max="36" width="13.875" style="1" customWidth="1"/>
    <col min="37" max="37" width="12.5" style="1" customWidth="1"/>
    <col min="38" max="38" width="23.875" style="1" customWidth="1"/>
    <col min="39" max="39" width="22.125" style="1" customWidth="1"/>
    <col min="40" max="40" width="17.5" style="1" customWidth="1"/>
    <col min="41" max="16384" width="9" style="1"/>
  </cols>
  <sheetData>
    <row r="1" s="1" customFormat="1" spans="1:3">
      <c r="A1" s="2" t="s">
        <v>5</v>
      </c>
      <c r="B1" s="2"/>
      <c r="C1" s="3"/>
    </row>
    <row r="2" s="1" customFormat="1" spans="1:3">
      <c r="A2" s="4" t="s">
        <v>6</v>
      </c>
      <c r="B2" s="4" t="s">
        <v>7</v>
      </c>
      <c r="C2" s="5">
        <f>IF(C30=1,C28,C26)</f>
        <v>5120</v>
      </c>
    </row>
    <row r="3" s="1" customFormat="1" spans="1:3">
      <c r="A3" s="4" t="s">
        <v>8</v>
      </c>
      <c r="B3" s="4" t="s">
        <v>9</v>
      </c>
      <c r="C3" s="5">
        <f>IF(C31=1,C29,C27)</f>
        <v>5120</v>
      </c>
    </row>
    <row r="4" s="1" customFormat="1" spans="1:4">
      <c r="A4" s="2" t="s">
        <v>10</v>
      </c>
      <c r="B4" s="2" t="s">
        <v>11</v>
      </c>
      <c r="C4" s="6">
        <v>5120</v>
      </c>
      <c r="D4" s="7" t="str">
        <f>IF(OR(C4&gt;C2,C4&lt;4),I25,"")</f>
        <v/>
      </c>
    </row>
    <row r="5" s="1" customFormat="1" spans="1:4">
      <c r="A5" s="2" t="s">
        <v>12</v>
      </c>
      <c r="B5" s="2" t="s">
        <v>13</v>
      </c>
      <c r="C5" s="6">
        <v>5120</v>
      </c>
      <c r="D5" s="7" t="str">
        <f>IF(OR(C5&gt;C3,C5&lt;2),I26,"")</f>
        <v/>
      </c>
    </row>
    <row r="6" s="1" customFormat="1" spans="1:4">
      <c r="A6" s="2" t="s">
        <v>14</v>
      </c>
      <c r="B6" s="2" t="s">
        <v>15</v>
      </c>
      <c r="C6" s="8">
        <v>1</v>
      </c>
      <c r="D6" s="7"/>
    </row>
    <row r="7" s="1" customFormat="1" ht="17" customHeight="1" spans="1:3">
      <c r="A7" s="4" t="s">
        <v>16</v>
      </c>
      <c r="B7" s="4" t="s">
        <v>17</v>
      </c>
      <c r="C7" s="8">
        <v>1</v>
      </c>
    </row>
    <row r="8" s="1" customFormat="1" spans="1:3">
      <c r="A8" s="4" t="s">
        <v>18</v>
      </c>
      <c r="B8" s="4" t="s">
        <v>19</v>
      </c>
      <c r="C8" s="8">
        <v>1</v>
      </c>
    </row>
    <row r="9" s="1" customFormat="1" spans="1:3">
      <c r="A9" s="2" t="s">
        <v>20</v>
      </c>
      <c r="B9" s="2" t="s">
        <v>21</v>
      </c>
      <c r="C9" s="6">
        <v>20000</v>
      </c>
    </row>
    <row r="10" s="1" customFormat="1" spans="1:3">
      <c r="A10" s="2" t="s">
        <v>22</v>
      </c>
      <c r="B10" s="2" t="s">
        <v>23</v>
      </c>
      <c r="C10" s="6">
        <v>8</v>
      </c>
    </row>
    <row r="11" s="1" customFormat="1" spans="1:3">
      <c r="A11" s="2" t="s">
        <v>24</v>
      </c>
      <c r="B11" s="2" t="s">
        <v>25</v>
      </c>
      <c r="C11" s="6">
        <v>10000</v>
      </c>
    </row>
    <row r="12" s="1" customFormat="1" spans="1:3">
      <c r="A12" s="2" t="s">
        <v>26</v>
      </c>
      <c r="B12" s="2" t="s">
        <v>27</v>
      </c>
      <c r="C12" s="6">
        <v>0</v>
      </c>
    </row>
    <row r="13" s="1" customFormat="1" spans="1:3">
      <c r="A13" s="2" t="s">
        <v>28</v>
      </c>
      <c r="B13" s="2" t="s">
        <v>29</v>
      </c>
      <c r="C13" s="6">
        <v>40.8</v>
      </c>
    </row>
    <row r="14" s="1" customFormat="1" spans="1:3">
      <c r="A14" s="2" t="s">
        <v>30</v>
      </c>
      <c r="B14" s="2" t="s">
        <v>31</v>
      </c>
      <c r="C14" s="6">
        <v>10</v>
      </c>
    </row>
    <row r="15" s="1" customFormat="1" spans="1:3">
      <c r="A15" s="2" t="s">
        <v>32</v>
      </c>
      <c r="B15" s="2" t="s">
        <v>33</v>
      </c>
      <c r="C15" s="9">
        <f>L62</f>
        <v>99</v>
      </c>
    </row>
    <row r="16" s="1" customFormat="1" spans="1:3">
      <c r="A16" s="2" t="s">
        <v>34</v>
      </c>
      <c r="B16" s="2" t="s">
        <v>35</v>
      </c>
      <c r="C16" s="6">
        <v>0</v>
      </c>
    </row>
    <row r="17" s="1" customFormat="1" spans="1:3">
      <c r="A17" s="2" t="s">
        <v>36</v>
      </c>
      <c r="B17" s="2" t="s">
        <v>37</v>
      </c>
      <c r="C17" s="9">
        <f>L60</f>
        <v>2781558</v>
      </c>
    </row>
    <row r="18" s="1" customFormat="1" spans="1:3">
      <c r="A18" s="2" t="s">
        <v>38</v>
      </c>
      <c r="B18" s="2" t="s">
        <v>39</v>
      </c>
      <c r="C18" s="6">
        <v>8164</v>
      </c>
    </row>
    <row r="19" s="1" customFormat="1" spans="1:3">
      <c r="A19" s="10" t="s">
        <v>40</v>
      </c>
      <c r="B19" s="10" t="s">
        <v>41</v>
      </c>
      <c r="C19" s="11">
        <v>0</v>
      </c>
    </row>
    <row r="20" s="1" customFormat="1" spans="1:3">
      <c r="A20" s="2" t="s">
        <v>42</v>
      </c>
      <c r="B20" s="2" t="s">
        <v>43</v>
      </c>
      <c r="C20" s="6">
        <v>0</v>
      </c>
    </row>
    <row r="21" s="1" customFormat="1" ht="14.25" spans="1:3">
      <c r="A21" s="12" t="s">
        <v>44</v>
      </c>
      <c r="B21" s="12"/>
      <c r="C21" s="13"/>
    </row>
    <row r="22" s="1" customFormat="1" ht="14.25" spans="1:4">
      <c r="A22" s="12" t="s">
        <v>45</v>
      </c>
      <c r="B22" s="12" t="s">
        <v>46</v>
      </c>
      <c r="C22" s="14">
        <f>L44</f>
        <v>41.8305028026437</v>
      </c>
      <c r="D22" s="7" t="str">
        <f>IF(I31,I27,"")</f>
        <v/>
      </c>
    </row>
    <row r="23" s="1" customFormat="1" ht="18" hidden="1" customHeight="1"/>
    <row r="24" s="1" customFormat="1" hidden="1" spans="9:9">
      <c r="I24" s="44" t="s">
        <v>47</v>
      </c>
    </row>
    <row r="25" s="1" customFormat="1" hidden="1" spans="9:9">
      <c r="I25" s="45" t="s">
        <v>48</v>
      </c>
    </row>
    <row r="26" s="1" customFormat="1" hidden="1" spans="1:9">
      <c r="A26" s="15" t="s">
        <v>49</v>
      </c>
      <c r="B26" s="16"/>
      <c r="C26" s="3">
        <v>2560</v>
      </c>
      <c r="I26" s="45" t="s">
        <v>50</v>
      </c>
    </row>
    <row r="27" s="1" customFormat="1" hidden="1" spans="1:9">
      <c r="A27" s="15" t="s">
        <v>51</v>
      </c>
      <c r="B27" s="16"/>
      <c r="C27" s="3">
        <v>2560</v>
      </c>
      <c r="I27" s="44" t="s">
        <v>52</v>
      </c>
    </row>
    <row r="28" s="1" customFormat="1" hidden="1" spans="1:9">
      <c r="A28" s="15" t="s">
        <v>53</v>
      </c>
      <c r="B28" s="16"/>
      <c r="C28" s="3">
        <v>5120</v>
      </c>
      <c r="I28" s="44"/>
    </row>
    <row r="29" s="1" customFormat="1" hidden="1" spans="1:9">
      <c r="A29" s="15" t="s">
        <v>54</v>
      </c>
      <c r="B29" s="16"/>
      <c r="C29" s="3">
        <v>5120</v>
      </c>
      <c r="I29" s="44"/>
    </row>
    <row r="30" s="1" customFormat="1" hidden="1" spans="1:9">
      <c r="A30" s="15" t="s">
        <v>55</v>
      </c>
      <c r="B30" s="16"/>
      <c r="C30" s="3">
        <f>IF(C6=1,C7,C6)</f>
        <v>1</v>
      </c>
      <c r="I30" s="44" t="s">
        <v>56</v>
      </c>
    </row>
    <row r="31" s="1" customFormat="1" hidden="1" spans="1:9">
      <c r="A31" s="15" t="s">
        <v>57</v>
      </c>
      <c r="B31" s="16"/>
      <c r="C31" s="3">
        <f>C8</f>
        <v>1</v>
      </c>
      <c r="I31" s="44">
        <f>IF(OR(OR(C4&gt;C2,C4&lt;4),OR(C5&gt;C3,C5&lt;2)),1,0)</f>
        <v>0</v>
      </c>
    </row>
    <row r="32" s="1" customFormat="1" hidden="1"/>
    <row r="33" s="1" customFormat="1" hidden="1"/>
    <row r="34" s="1" customFormat="1" hidden="1"/>
    <row r="35" s="1" customFormat="1" hidden="1"/>
    <row r="36" s="1" customFormat="1" hidden="1"/>
    <row r="37" s="1" customFormat="1" hidden="1"/>
    <row r="38" s="1" customFormat="1" ht="14.25" hidden="1" spans="3:26">
      <c r="C38" s="17"/>
      <c r="D38" s="17"/>
      <c r="F38" s="17"/>
      <c r="G38" s="17"/>
      <c r="U38" s="17"/>
      <c r="V38" s="17"/>
      <c r="W38" s="17"/>
      <c r="X38" s="17"/>
      <c r="Y38" s="17"/>
      <c r="Z38" s="17"/>
    </row>
    <row r="39" s="1" customFormat="1" ht="14.25" hidden="1" spans="3:45">
      <c r="C39" s="18" t="s">
        <v>58</v>
      </c>
      <c r="D39" s="18" t="s">
        <v>59</v>
      </c>
      <c r="E39" s="19" t="s">
        <v>60</v>
      </c>
      <c r="F39" s="20"/>
      <c r="G39" s="20"/>
      <c r="H39" s="20"/>
      <c r="I39" s="21" t="s">
        <v>61</v>
      </c>
      <c r="J39" s="22"/>
      <c r="K39" s="22"/>
      <c r="L39" s="22"/>
      <c r="M39" s="23"/>
      <c r="N39" s="46"/>
      <c r="O39" s="21" t="s">
        <v>62</v>
      </c>
      <c r="P39" s="22"/>
      <c r="Q39" s="22"/>
      <c r="R39" s="22"/>
      <c r="S39" s="23"/>
      <c r="T39" s="46"/>
      <c r="U39" s="68" t="s">
        <v>63</v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95"/>
    </row>
    <row r="40" s="1" customFormat="1" ht="54" hidden="1" spans="3:45">
      <c r="C40" s="21" t="s">
        <v>64</v>
      </c>
      <c r="D40" s="22"/>
      <c r="E40" s="22"/>
      <c r="F40" s="22"/>
      <c r="G40" s="23"/>
      <c r="H40" s="20"/>
      <c r="I40" s="27" t="s">
        <v>45</v>
      </c>
      <c r="J40" s="28"/>
      <c r="K40" s="28"/>
      <c r="L40" s="28"/>
      <c r="M40" s="29"/>
      <c r="N40" s="46"/>
      <c r="O40" s="27" t="s">
        <v>65</v>
      </c>
      <c r="P40" s="28"/>
      <c r="Q40" s="28"/>
      <c r="R40" s="28"/>
      <c r="S40" s="29"/>
      <c r="T40" s="46"/>
      <c r="U40" s="70" t="s">
        <v>66</v>
      </c>
      <c r="V40" s="71" t="s">
        <v>67</v>
      </c>
      <c r="W40" s="71" t="s">
        <v>68</v>
      </c>
      <c r="X40" s="71" t="s">
        <v>69</v>
      </c>
      <c r="Y40" s="71" t="s">
        <v>70</v>
      </c>
      <c r="Z40" s="71" t="s">
        <v>71</v>
      </c>
      <c r="AA40" s="71" t="s">
        <v>72</v>
      </c>
      <c r="AB40" s="71" t="s">
        <v>73</v>
      </c>
      <c r="AC40" s="71" t="s">
        <v>74</v>
      </c>
      <c r="AD40" s="71" t="s">
        <v>75</v>
      </c>
      <c r="AE40" s="71" t="s">
        <v>76</v>
      </c>
      <c r="AF40" s="71" t="s">
        <v>77</v>
      </c>
      <c r="AG40" s="71" t="s">
        <v>78</v>
      </c>
      <c r="AH40" s="71" t="s">
        <v>79</v>
      </c>
      <c r="AI40" s="71" t="s">
        <v>80</v>
      </c>
      <c r="AJ40" s="71" t="s">
        <v>81</v>
      </c>
      <c r="AK40" s="71" t="s">
        <v>82</v>
      </c>
      <c r="AL40" s="71" t="s">
        <v>83</v>
      </c>
      <c r="AM40" s="71" t="s">
        <v>84</v>
      </c>
      <c r="AN40" s="91" t="s">
        <v>85</v>
      </c>
      <c r="AO40" s="71" t="s">
        <v>86</v>
      </c>
      <c r="AP40" s="71" t="s">
        <v>87</v>
      </c>
      <c r="AQ40" s="71" t="s">
        <v>88</v>
      </c>
      <c r="AR40" s="71" t="s">
        <v>89</v>
      </c>
      <c r="AS40" s="96" t="s">
        <v>90</v>
      </c>
    </row>
    <row r="41" s="1" customFormat="1" ht="27.75" hidden="1" spans="3:45">
      <c r="C41" s="24" t="s">
        <v>91</v>
      </c>
      <c r="D41" s="25" t="s">
        <v>92</v>
      </c>
      <c r="E41" s="25" t="s">
        <v>93</v>
      </c>
      <c r="F41" s="25" t="s">
        <v>94</v>
      </c>
      <c r="G41" s="26" t="s">
        <v>95</v>
      </c>
      <c r="H41" s="20"/>
      <c r="I41" s="47" t="s">
        <v>91</v>
      </c>
      <c r="J41" s="48" t="s">
        <v>92</v>
      </c>
      <c r="K41" s="48" t="s">
        <v>96</v>
      </c>
      <c r="L41" s="48" t="s">
        <v>97</v>
      </c>
      <c r="M41" s="49" t="s">
        <v>95</v>
      </c>
      <c r="N41" s="46"/>
      <c r="O41" s="24" t="s">
        <v>91</v>
      </c>
      <c r="P41" s="25" t="s">
        <v>92</v>
      </c>
      <c r="Q41" s="25" t="s">
        <v>96</v>
      </c>
      <c r="R41" s="25" t="s">
        <v>98</v>
      </c>
      <c r="S41" s="72" t="s">
        <v>95</v>
      </c>
      <c r="T41" s="46"/>
      <c r="U41" s="73" t="s">
        <v>60</v>
      </c>
      <c r="V41" s="74" t="s">
        <v>99</v>
      </c>
      <c r="W41" s="74">
        <v>80</v>
      </c>
      <c r="X41" s="74">
        <v>80</v>
      </c>
      <c r="Y41" s="85">
        <v>1</v>
      </c>
      <c r="Z41" s="85">
        <v>16</v>
      </c>
      <c r="AA41" s="85">
        <v>128</v>
      </c>
      <c r="AB41" s="85">
        <v>4</v>
      </c>
      <c r="AC41" s="74">
        <v>5376</v>
      </c>
      <c r="AD41" s="74">
        <v>1</v>
      </c>
      <c r="AE41" s="74">
        <v>5376</v>
      </c>
      <c r="AF41" s="74">
        <v>5184</v>
      </c>
      <c r="AG41" s="85">
        <f>ROUNDUP((6*AH41/$R$42)*1000,0)+ROUNDUP(3*$L$42,0)</f>
        <v>23250</v>
      </c>
      <c r="AH41" s="92">
        <f>IF(F43=8,124,248)</f>
        <v>124</v>
      </c>
      <c r="AI41" s="92">
        <v>3</v>
      </c>
      <c r="AJ41" s="92">
        <v>3</v>
      </c>
      <c r="AK41" s="92">
        <v>636</v>
      </c>
      <c r="AL41" s="92">
        <v>6</v>
      </c>
      <c r="AM41" s="92">
        <v>14</v>
      </c>
      <c r="AN41" s="93">
        <v>1</v>
      </c>
      <c r="AO41" s="74" t="s">
        <v>100</v>
      </c>
      <c r="AP41" s="74">
        <v>20000</v>
      </c>
      <c r="AQ41" s="92">
        <v>5120</v>
      </c>
      <c r="AR41" s="92">
        <v>5120</v>
      </c>
      <c r="AS41" s="97">
        <v>4</v>
      </c>
    </row>
    <row r="42" s="1" customFormat="1" ht="27" hidden="1" spans="3:45">
      <c r="C42" s="27" t="s">
        <v>22</v>
      </c>
      <c r="D42" s="28"/>
      <c r="E42" s="28"/>
      <c r="F42" s="28"/>
      <c r="G42" s="29"/>
      <c r="H42" s="20"/>
      <c r="I42" s="30" t="s">
        <v>101</v>
      </c>
      <c r="J42" s="31" t="s">
        <v>102</v>
      </c>
      <c r="K42" s="36" t="s">
        <v>103</v>
      </c>
      <c r="L42" s="50">
        <f>ROUNDUP(1000*R45*R43/R42,0)</f>
        <v>4650</v>
      </c>
      <c r="M42" s="30" t="s">
        <v>104</v>
      </c>
      <c r="N42" s="46"/>
      <c r="O42" s="30" t="s">
        <v>105</v>
      </c>
      <c r="P42" s="31" t="s">
        <v>106</v>
      </c>
      <c r="Q42" s="31" t="s">
        <v>107</v>
      </c>
      <c r="R42" s="53">
        <f>VLOOKUP($E$39,$U$41:$AS$44,4,FALSE)</f>
        <v>80</v>
      </c>
      <c r="S42" s="54" t="s">
        <v>108</v>
      </c>
      <c r="T42" s="46"/>
      <c r="U42" s="75"/>
      <c r="V42" s="75"/>
      <c r="W42" s="75"/>
      <c r="X42" s="75"/>
      <c r="Y42" s="86"/>
      <c r="Z42" s="86"/>
      <c r="AA42" s="86"/>
      <c r="AB42" s="86"/>
      <c r="AC42" s="75"/>
      <c r="AD42" s="75"/>
      <c r="AE42" s="75"/>
      <c r="AF42" s="75"/>
      <c r="AG42" s="86"/>
      <c r="AH42" s="94"/>
      <c r="AI42" s="94"/>
      <c r="AJ42" s="94"/>
      <c r="AK42" s="94"/>
      <c r="AL42" s="94"/>
      <c r="AM42" s="94"/>
      <c r="AN42" s="75"/>
      <c r="AO42" s="75"/>
      <c r="AP42" s="75"/>
      <c r="AQ42" s="94"/>
      <c r="AR42" s="94"/>
      <c r="AS42" s="75"/>
    </row>
    <row r="43" s="1" customFormat="1" ht="40.5" hidden="1" spans="3:45">
      <c r="C43" s="30" t="s">
        <v>109</v>
      </c>
      <c r="D43" s="31" t="s">
        <v>22</v>
      </c>
      <c r="E43" s="31">
        <v>8</v>
      </c>
      <c r="F43" s="32">
        <f>C10</f>
        <v>8</v>
      </c>
      <c r="G43" s="33" t="s">
        <v>110</v>
      </c>
      <c r="H43" s="20"/>
      <c r="I43" s="30" t="s">
        <v>111</v>
      </c>
      <c r="J43" s="31" t="s">
        <v>112</v>
      </c>
      <c r="K43" s="36" t="s">
        <v>113</v>
      </c>
      <c r="L43" s="50">
        <f>MAX(L46,L47,L48,L49)+L54</f>
        <v>23906</v>
      </c>
      <c r="M43" s="30" t="s">
        <v>114</v>
      </c>
      <c r="N43" s="39"/>
      <c r="O43" s="30" t="s">
        <v>115</v>
      </c>
      <c r="P43" s="31" t="s">
        <v>115</v>
      </c>
      <c r="Q43" s="31" t="s">
        <v>107</v>
      </c>
      <c r="R43" s="53">
        <f>VLOOKUP($E$39,$U$41:$AS$44,14,FALSE)</f>
        <v>124</v>
      </c>
      <c r="S43" s="54" t="s">
        <v>116</v>
      </c>
      <c r="T43" s="39"/>
      <c r="U43" s="75"/>
      <c r="V43" s="75"/>
      <c r="W43" s="75"/>
      <c r="X43" s="75"/>
      <c r="Y43" s="86"/>
      <c r="Z43" s="86"/>
      <c r="AA43" s="86"/>
      <c r="AB43" s="86"/>
      <c r="AC43" s="75"/>
      <c r="AD43" s="75"/>
      <c r="AE43" s="75"/>
      <c r="AF43" s="75"/>
      <c r="AG43" s="86"/>
      <c r="AH43" s="94"/>
      <c r="AI43" s="94"/>
      <c r="AJ43" s="94"/>
      <c r="AK43" s="94"/>
      <c r="AL43" s="94"/>
      <c r="AM43" s="94"/>
      <c r="AN43" s="75"/>
      <c r="AO43" s="75"/>
      <c r="AP43" s="75"/>
      <c r="AQ43" s="94"/>
      <c r="AR43" s="94"/>
      <c r="AS43" s="75"/>
    </row>
    <row r="44" s="1" customFormat="1" hidden="1" spans="3:45">
      <c r="C44" s="27" t="s">
        <v>20</v>
      </c>
      <c r="D44" s="28"/>
      <c r="E44" s="28"/>
      <c r="F44" s="28"/>
      <c r="G44" s="29"/>
      <c r="H44" s="20"/>
      <c r="I44" s="30" t="s">
        <v>117</v>
      </c>
      <c r="J44" s="31" t="s">
        <v>45</v>
      </c>
      <c r="K44" s="36" t="s">
        <v>118</v>
      </c>
      <c r="L44" s="51">
        <f>1000000/L43</f>
        <v>41.8305028026437</v>
      </c>
      <c r="M44" s="30" t="s">
        <v>119</v>
      </c>
      <c r="N44" s="39"/>
      <c r="O44" s="30" t="s">
        <v>120</v>
      </c>
      <c r="P44" s="31" t="s">
        <v>121</v>
      </c>
      <c r="Q44" s="31" t="s">
        <v>107</v>
      </c>
      <c r="R44" s="53">
        <f>VLOOKUP($E$39,$U$41:$AS$44,13,FALSE)</f>
        <v>23250</v>
      </c>
      <c r="S44" s="54" t="s">
        <v>104</v>
      </c>
      <c r="T44" s="39"/>
      <c r="U44" s="75"/>
      <c r="V44" s="75"/>
      <c r="W44" s="75"/>
      <c r="X44" s="75"/>
      <c r="Y44" s="86"/>
      <c r="Z44" s="86"/>
      <c r="AA44" s="86"/>
      <c r="AB44" s="86"/>
      <c r="AC44" s="75"/>
      <c r="AD44" s="75"/>
      <c r="AE44" s="75"/>
      <c r="AF44" s="75"/>
      <c r="AG44" s="94"/>
      <c r="AH44" s="94"/>
      <c r="AI44" s="94"/>
      <c r="AJ44" s="94"/>
      <c r="AK44" s="94"/>
      <c r="AL44" s="94"/>
      <c r="AM44" s="94"/>
      <c r="AN44" s="75"/>
      <c r="AO44" s="75"/>
      <c r="AP44" s="75"/>
      <c r="AQ44" s="94"/>
      <c r="AR44" s="94"/>
      <c r="AS44" s="75"/>
    </row>
    <row r="45" s="1" customFormat="1" hidden="1" spans="3:45">
      <c r="C45" s="30" t="s">
        <v>122</v>
      </c>
      <c r="D45" s="31" t="s">
        <v>20</v>
      </c>
      <c r="E45" s="31">
        <f>VLOOKUP($E$39,$U$41:$AS$44,22,FALSE)</f>
        <v>20000</v>
      </c>
      <c r="F45" s="32">
        <f>C9</f>
        <v>20000</v>
      </c>
      <c r="G45" s="34" t="s">
        <v>114</v>
      </c>
      <c r="H45" s="20"/>
      <c r="I45" s="27" t="s">
        <v>123</v>
      </c>
      <c r="J45" s="28"/>
      <c r="K45" s="28"/>
      <c r="L45" s="28"/>
      <c r="M45" s="29"/>
      <c r="N45" s="39"/>
      <c r="O45" s="30" t="s">
        <v>124</v>
      </c>
      <c r="P45" s="31" t="s">
        <v>125</v>
      </c>
      <c r="Q45" s="31" t="s">
        <v>107</v>
      </c>
      <c r="R45" s="53">
        <f>VLOOKUP($E$39,$U$41:$AS$44,15,FALSE)</f>
        <v>3</v>
      </c>
      <c r="S45" s="54" t="s">
        <v>110</v>
      </c>
      <c r="T45" s="39"/>
      <c r="U45" s="76"/>
      <c r="V45" s="76"/>
      <c r="W45" s="76"/>
      <c r="X45" s="76"/>
      <c r="Y45" s="76"/>
      <c r="Z45" s="76"/>
      <c r="AA45" s="76"/>
      <c r="AB45" s="76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</row>
    <row r="46" s="1" customFormat="1" ht="54" hidden="1" spans="3:45">
      <c r="C46" s="30" t="s">
        <v>126</v>
      </c>
      <c r="D46" s="31" t="s">
        <v>40</v>
      </c>
      <c r="E46" s="31">
        <v>0</v>
      </c>
      <c r="F46" s="32">
        <f>C19</f>
        <v>0</v>
      </c>
      <c r="G46" s="34" t="s">
        <v>114</v>
      </c>
      <c r="H46" s="20"/>
      <c r="I46" s="30" t="s">
        <v>127</v>
      </c>
      <c r="J46" s="31" t="s">
        <v>128</v>
      </c>
      <c r="K46" s="36" t="s">
        <v>129</v>
      </c>
      <c r="L46" s="50">
        <f>ROUNDUP(((F53*F69+R46+R50+1)*L42+R44)/1000,0)</f>
        <v>23906</v>
      </c>
      <c r="M46" s="52" t="s">
        <v>114</v>
      </c>
      <c r="N46" s="39"/>
      <c r="O46" s="30" t="s">
        <v>130</v>
      </c>
      <c r="P46" s="31" t="s">
        <v>131</v>
      </c>
      <c r="Q46" s="31" t="s">
        <v>107</v>
      </c>
      <c r="R46" s="53">
        <f>VLOOKUP($E$39,$U$41:$AS$44,19,FALSE)</f>
        <v>14</v>
      </c>
      <c r="S46" s="54" t="s">
        <v>132</v>
      </c>
      <c r="T46" s="39"/>
      <c r="U46" s="76"/>
      <c r="V46" s="76"/>
      <c r="W46" s="76"/>
      <c r="X46" s="76"/>
      <c r="Y46" s="76"/>
      <c r="Z46" s="76"/>
      <c r="AA46" s="76"/>
      <c r="AB46" s="7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</row>
    <row r="47" s="1" customFormat="1" ht="27" hidden="1" spans="3:45">
      <c r="C47" s="27" t="s">
        <v>133</v>
      </c>
      <c r="D47" s="28"/>
      <c r="E47" s="28"/>
      <c r="F47" s="28"/>
      <c r="G47" s="29"/>
      <c r="H47" s="20"/>
      <c r="I47" s="30" t="s">
        <v>134</v>
      </c>
      <c r="J47" s="31" t="s">
        <v>135</v>
      </c>
      <c r="K47" s="36" t="s">
        <v>136</v>
      </c>
      <c r="L47" s="50">
        <f>ROUNDUP(F45-R48/R42+R47*L42/1000+F46+R44/1000,0)</f>
        <v>20030</v>
      </c>
      <c r="M47" s="52" t="s">
        <v>114</v>
      </c>
      <c r="N47" s="39"/>
      <c r="O47" s="30" t="s">
        <v>137</v>
      </c>
      <c r="P47" s="31" t="s">
        <v>138</v>
      </c>
      <c r="Q47" s="31" t="s">
        <v>107</v>
      </c>
      <c r="R47" s="53">
        <f>VLOOKUP($E$39,$U$41:$AS$44,16,FALSE)</f>
        <v>3</v>
      </c>
      <c r="S47" s="54" t="s">
        <v>132</v>
      </c>
      <c r="T47" s="39"/>
      <c r="U47" s="76"/>
      <c r="V47" s="76"/>
      <c r="W47" s="76"/>
      <c r="X47" s="76"/>
      <c r="Y47" s="76"/>
      <c r="Z47" s="76"/>
      <c r="AA47" s="87"/>
      <c r="AB47" s="76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="1" customFormat="1" ht="27" hidden="1" spans="3:45">
      <c r="C48" s="30" t="s">
        <v>139</v>
      </c>
      <c r="D48" s="31" t="s">
        <v>140</v>
      </c>
      <c r="E48" s="31">
        <v>0</v>
      </c>
      <c r="F48" s="32">
        <v>0</v>
      </c>
      <c r="G48" s="33" t="s">
        <v>114</v>
      </c>
      <c r="H48" s="20"/>
      <c r="I48" s="30" t="s">
        <v>141</v>
      </c>
      <c r="J48" s="31" t="s">
        <v>142</v>
      </c>
      <c r="K48" s="31" t="s">
        <v>143</v>
      </c>
      <c r="L48" s="53">
        <f>ROUNDUP((1000000/F63)*F62,0)</f>
        <v>0</v>
      </c>
      <c r="M48" s="54" t="s">
        <v>114</v>
      </c>
      <c r="N48" s="39"/>
      <c r="O48" s="30" t="s">
        <v>144</v>
      </c>
      <c r="P48" s="31" t="s">
        <v>145</v>
      </c>
      <c r="Q48" s="31" t="s">
        <v>107</v>
      </c>
      <c r="R48" s="53">
        <f>VLOOKUP($E$39,$U$41:$AS$44,17,FALSE)</f>
        <v>636</v>
      </c>
      <c r="S48" s="54" t="s">
        <v>146</v>
      </c>
      <c r="T48" s="39"/>
      <c r="U48" s="77"/>
      <c r="V48" s="77"/>
      <c r="W48" s="77"/>
      <c r="X48" s="77"/>
      <c r="Y48" s="77"/>
      <c r="Z48" s="77"/>
      <c r="AA48" s="88"/>
      <c r="AB48" s="88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</row>
    <row r="49" s="1" customFormat="1" ht="27" hidden="1" spans="3:45">
      <c r="C49" s="27" t="s">
        <v>147</v>
      </c>
      <c r="D49" s="28"/>
      <c r="E49" s="28"/>
      <c r="F49" s="28"/>
      <c r="G49" s="29"/>
      <c r="H49" s="20"/>
      <c r="I49" s="30" t="s">
        <v>148</v>
      </c>
      <c r="J49" s="36" t="s">
        <v>149</v>
      </c>
      <c r="K49" s="36" t="s">
        <v>150</v>
      </c>
      <c r="L49" s="53">
        <f>R80</f>
        <v>23540</v>
      </c>
      <c r="M49" s="54" t="s">
        <v>114</v>
      </c>
      <c r="N49" s="39"/>
      <c r="O49" s="30" t="s">
        <v>151</v>
      </c>
      <c r="P49" s="31" t="s">
        <v>152</v>
      </c>
      <c r="Q49" s="31" t="s">
        <v>107</v>
      </c>
      <c r="R49" s="53">
        <f>VLOOKUP($E$39,$U$41:$AS$44,18,FALSE)</f>
        <v>6</v>
      </c>
      <c r="S49" s="54" t="s">
        <v>132</v>
      </c>
      <c r="T49" s="39"/>
      <c r="U49" s="77"/>
      <c r="V49" s="77"/>
      <c r="W49" s="77"/>
      <c r="X49" s="77"/>
      <c r="Y49" s="77"/>
      <c r="Z49" s="77"/>
      <c r="AA49" s="88"/>
      <c r="AB49" s="88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</row>
    <row r="50" s="1" customFormat="1" hidden="1" spans="3:45">
      <c r="C50" s="30" t="s">
        <v>153</v>
      </c>
      <c r="D50" s="31" t="s">
        <v>154</v>
      </c>
      <c r="E50" s="31">
        <v>0</v>
      </c>
      <c r="F50" s="32">
        <v>0</v>
      </c>
      <c r="G50" s="33" t="s">
        <v>116</v>
      </c>
      <c r="H50" s="20"/>
      <c r="I50" s="27" t="s">
        <v>155</v>
      </c>
      <c r="J50" s="28"/>
      <c r="K50" s="28"/>
      <c r="L50" s="28"/>
      <c r="M50" s="29"/>
      <c r="N50" s="39"/>
      <c r="O50" s="30" t="s">
        <v>156</v>
      </c>
      <c r="P50" s="31" t="s">
        <v>157</v>
      </c>
      <c r="Q50" s="31" t="s">
        <v>107</v>
      </c>
      <c r="R50" s="53">
        <v>1</v>
      </c>
      <c r="S50" s="54" t="s">
        <v>132</v>
      </c>
      <c r="T50" s="39"/>
      <c r="U50" s="77"/>
      <c r="V50" s="77"/>
      <c r="W50" s="77"/>
      <c r="X50" s="77"/>
      <c r="Y50" s="77"/>
      <c r="Z50" s="77"/>
      <c r="AA50" s="88"/>
      <c r="AB50" s="88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</row>
    <row r="51" s="1" customFormat="1" ht="40.5" hidden="1" spans="3:45">
      <c r="C51" s="35" t="s">
        <v>158</v>
      </c>
      <c r="D51" s="36" t="s">
        <v>159</v>
      </c>
      <c r="E51" s="36">
        <v>0</v>
      </c>
      <c r="F51" s="37">
        <v>0</v>
      </c>
      <c r="G51" s="34" t="s">
        <v>116</v>
      </c>
      <c r="H51" s="20"/>
      <c r="I51" s="35" t="s">
        <v>122</v>
      </c>
      <c r="J51" s="36" t="s">
        <v>160</v>
      </c>
      <c r="K51" s="36" t="s">
        <v>161</v>
      </c>
      <c r="L51" s="50">
        <f>ROUNDUP((1000*F45-1000*R48/R42)/1000,0)</f>
        <v>19993</v>
      </c>
      <c r="M51" s="52" t="s">
        <v>114</v>
      </c>
      <c r="N51" s="39"/>
      <c r="O51" s="55" t="s">
        <v>162</v>
      </c>
      <c r="P51" s="56"/>
      <c r="Q51" s="78"/>
      <c r="R51" s="78"/>
      <c r="S51" s="7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</row>
    <row r="52" s="1" customFormat="1" ht="27" hidden="1" spans="3:45">
      <c r="C52" s="35" t="s">
        <v>10</v>
      </c>
      <c r="D52" s="36" t="s">
        <v>11</v>
      </c>
      <c r="E52" s="36">
        <f>VLOOKUP($E$39,$U$41:$AS$44,23,FALSE)</f>
        <v>5120</v>
      </c>
      <c r="F52" s="37">
        <f>C4</f>
        <v>5120</v>
      </c>
      <c r="G52" s="34" t="s">
        <v>116</v>
      </c>
      <c r="H52" s="20"/>
      <c r="I52" s="35" t="s">
        <v>163</v>
      </c>
      <c r="J52" s="36" t="s">
        <v>164</v>
      </c>
      <c r="K52" s="36" t="s">
        <v>165</v>
      </c>
      <c r="L52" s="50">
        <f>F46</f>
        <v>0</v>
      </c>
      <c r="M52" s="57" t="s">
        <v>132</v>
      </c>
      <c r="N52" s="39"/>
      <c r="O52" s="24" t="s">
        <v>91</v>
      </c>
      <c r="P52" s="25" t="s">
        <v>92</v>
      </c>
      <c r="Q52" s="25" t="s">
        <v>96</v>
      </c>
      <c r="R52" s="25" t="s">
        <v>98</v>
      </c>
      <c r="S52" s="72" t="s">
        <v>95</v>
      </c>
      <c r="T52" s="46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</row>
    <row r="53" s="1" customFormat="1" ht="94.5" hidden="1" spans="3:45">
      <c r="C53" s="35" t="s">
        <v>12</v>
      </c>
      <c r="D53" s="36" t="s">
        <v>13</v>
      </c>
      <c r="E53" s="36">
        <f>VLOOKUP($E$39,$U$41:$AS$44,24,FALSE)</f>
        <v>5120</v>
      </c>
      <c r="F53" s="37">
        <f>C5</f>
        <v>5120</v>
      </c>
      <c r="G53" s="34" t="s">
        <v>116</v>
      </c>
      <c r="H53" s="20"/>
      <c r="I53" s="35" t="s">
        <v>166</v>
      </c>
      <c r="J53" s="36" t="s">
        <v>167</v>
      </c>
      <c r="K53" s="36" t="s">
        <v>168</v>
      </c>
      <c r="L53" s="50">
        <f>IF((MAX(L46,L47,L48,L49)-L51)&lt;L46,(IF((MAX(L46,L47,L48,L49)-L51)&gt;=(L46-ROUNDUP(6*L42/1000,0)),1,0)),0)</f>
        <v>0</v>
      </c>
      <c r="M53" s="57" t="s">
        <v>110</v>
      </c>
      <c r="N53" s="39"/>
      <c r="O53" s="30" t="s">
        <v>169</v>
      </c>
      <c r="P53" s="31" t="s">
        <v>170</v>
      </c>
      <c r="Q53" s="31" t="s">
        <v>171</v>
      </c>
      <c r="R53" s="53">
        <v>7</v>
      </c>
      <c r="S53" s="54" t="s">
        <v>172</v>
      </c>
      <c r="T53" s="46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</row>
    <row r="54" s="1" customFormat="1" ht="40.5" hidden="1" spans="3:45">
      <c r="C54" s="27" t="s">
        <v>173</v>
      </c>
      <c r="D54" s="28"/>
      <c r="E54" s="28"/>
      <c r="F54" s="28"/>
      <c r="G54" s="29"/>
      <c r="H54" s="20"/>
      <c r="I54" s="35" t="s">
        <v>174</v>
      </c>
      <c r="J54" s="36" t="s">
        <v>175</v>
      </c>
      <c r="K54" s="36" t="s">
        <v>176</v>
      </c>
      <c r="L54" s="50">
        <f>IF(L53=1,L46-(MAX(L46,L47,L48,L49)-L51),0)</f>
        <v>0</v>
      </c>
      <c r="M54" s="57" t="s">
        <v>114</v>
      </c>
      <c r="N54" s="39"/>
      <c r="O54" s="30" t="s">
        <v>177</v>
      </c>
      <c r="P54" s="31" t="s">
        <v>178</v>
      </c>
      <c r="Q54" s="31" t="s">
        <v>179</v>
      </c>
      <c r="R54" s="53">
        <v>1</v>
      </c>
      <c r="S54" s="54" t="s">
        <v>172</v>
      </c>
      <c r="T54" s="46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</row>
    <row r="55" s="1" customFormat="1" ht="27" hidden="1" spans="3:45">
      <c r="C55" s="35" t="s">
        <v>180</v>
      </c>
      <c r="D55" s="36" t="s">
        <v>181</v>
      </c>
      <c r="E55" s="38">
        <v>0</v>
      </c>
      <c r="F55" s="37">
        <v>0</v>
      </c>
      <c r="G55" s="34" t="s">
        <v>110</v>
      </c>
      <c r="H55" s="20"/>
      <c r="I55" s="27" t="s">
        <v>182</v>
      </c>
      <c r="J55" s="28"/>
      <c r="K55" s="28"/>
      <c r="L55" s="28"/>
      <c r="M55" s="29"/>
      <c r="N55" s="39"/>
      <c r="O55" s="30" t="s">
        <v>183</v>
      </c>
      <c r="P55" s="31" t="s">
        <v>184</v>
      </c>
      <c r="Q55" s="31" t="s">
        <v>185</v>
      </c>
      <c r="R55" s="53">
        <v>14</v>
      </c>
      <c r="S55" s="54" t="s">
        <v>172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</row>
    <row r="56" s="1" customFormat="1" ht="41.25" hidden="1" spans="3:45">
      <c r="C56" s="27" t="s">
        <v>186</v>
      </c>
      <c r="D56" s="28"/>
      <c r="E56" s="28"/>
      <c r="F56" s="28"/>
      <c r="G56" s="29"/>
      <c r="H56" s="20"/>
      <c r="I56" s="35" t="s">
        <v>187</v>
      </c>
      <c r="J56" s="36" t="s">
        <v>188</v>
      </c>
      <c r="K56" s="36" t="s">
        <v>189</v>
      </c>
      <c r="L56" s="58">
        <f>L44*R69</f>
        <v>1096561532.66962</v>
      </c>
      <c r="M56" s="59" t="s">
        <v>190</v>
      </c>
      <c r="N56" s="39"/>
      <c r="O56" s="30" t="s">
        <v>191</v>
      </c>
      <c r="P56" s="31" t="s">
        <v>192</v>
      </c>
      <c r="Q56" s="31" t="s">
        <v>193</v>
      </c>
      <c r="R56" s="53">
        <v>20</v>
      </c>
      <c r="S56" s="54" t="s">
        <v>172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</row>
    <row r="57" s="1" customFormat="1" ht="27" hidden="1" spans="3:45">
      <c r="C57" s="35" t="s">
        <v>194</v>
      </c>
      <c r="D57" s="36" t="s">
        <v>195</v>
      </c>
      <c r="E57" s="38" t="s">
        <v>110</v>
      </c>
      <c r="F57" s="37">
        <f>C11</f>
        <v>10000</v>
      </c>
      <c r="G57" s="34" t="s">
        <v>196</v>
      </c>
      <c r="H57" s="39"/>
      <c r="I57" s="60" t="s">
        <v>197</v>
      </c>
      <c r="J57" s="61" t="s">
        <v>198</v>
      </c>
      <c r="K57" s="36" t="s">
        <v>199</v>
      </c>
      <c r="L57" s="50">
        <f>L44*R76</f>
        <v>1104928135.19619</v>
      </c>
      <c r="M57" s="59" t="s">
        <v>190</v>
      </c>
      <c r="N57" s="39"/>
      <c r="O57" s="30" t="s">
        <v>200</v>
      </c>
      <c r="P57" s="31" t="s">
        <v>201</v>
      </c>
      <c r="Q57" s="31" t="s">
        <v>202</v>
      </c>
      <c r="R57" s="53">
        <v>8</v>
      </c>
      <c r="S57" s="54" t="s">
        <v>172</v>
      </c>
      <c r="T57" s="39"/>
      <c r="U57" s="80" t="s">
        <v>203</v>
      </c>
      <c r="V57" s="81"/>
      <c r="W57" s="81"/>
      <c r="X57" s="81"/>
      <c r="Y57" s="8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</row>
    <row r="58" s="1" customFormat="1" ht="81" hidden="1" spans="3:45">
      <c r="C58" s="35" t="s">
        <v>204</v>
      </c>
      <c r="D58" s="36" t="s">
        <v>39</v>
      </c>
      <c r="E58" s="38">
        <v>1500</v>
      </c>
      <c r="F58" s="37">
        <f>C18</f>
        <v>8164</v>
      </c>
      <c r="G58" s="34" t="s">
        <v>172</v>
      </c>
      <c r="H58" s="39"/>
      <c r="I58" s="60" t="s">
        <v>205</v>
      </c>
      <c r="J58" s="61" t="s">
        <v>206</v>
      </c>
      <c r="K58" s="36" t="s">
        <v>207</v>
      </c>
      <c r="L58" s="50">
        <f>1250*F57*(100-F60)</f>
        <v>1125000000</v>
      </c>
      <c r="M58" s="59" t="s">
        <v>190</v>
      </c>
      <c r="N58" s="39"/>
      <c r="O58" s="30" t="s">
        <v>208</v>
      </c>
      <c r="P58" s="31" t="s">
        <v>209</v>
      </c>
      <c r="Q58" s="31" t="s">
        <v>202</v>
      </c>
      <c r="R58" s="53">
        <v>8</v>
      </c>
      <c r="S58" s="54" t="s">
        <v>172</v>
      </c>
      <c r="T58" s="39"/>
      <c r="U58" s="24" t="s">
        <v>210</v>
      </c>
      <c r="V58" s="25" t="s">
        <v>211</v>
      </c>
      <c r="W58" s="25" t="s">
        <v>92</v>
      </c>
      <c r="X58" s="25" t="s">
        <v>96</v>
      </c>
      <c r="Y58" s="26" t="s">
        <v>212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</row>
    <row r="59" s="1" customFormat="1" ht="54" hidden="1" spans="3:45">
      <c r="C59" s="35" t="str">
        <f>"流通道包间隔(不包括12B最小值的部分) 
范围:0-"&amp;L60</f>
        <v>流通道包间隔(不包括12B最小值的部分) 
范围:0-2781558</v>
      </c>
      <c r="D59" s="36" t="s">
        <v>35</v>
      </c>
      <c r="E59" s="38">
        <v>0</v>
      </c>
      <c r="F59" s="37">
        <f>C16</f>
        <v>0</v>
      </c>
      <c r="G59" s="34" t="s">
        <v>172</v>
      </c>
      <c r="H59" s="39"/>
      <c r="I59" s="27" t="s">
        <v>213</v>
      </c>
      <c r="J59" s="28"/>
      <c r="K59" s="28"/>
      <c r="L59" s="28"/>
      <c r="M59" s="29"/>
      <c r="N59" s="39"/>
      <c r="O59" s="30" t="s">
        <v>214</v>
      </c>
      <c r="P59" s="31" t="s">
        <v>215</v>
      </c>
      <c r="Q59" s="31" t="s">
        <v>216</v>
      </c>
      <c r="R59" s="53">
        <v>4</v>
      </c>
      <c r="S59" s="54" t="s">
        <v>172</v>
      </c>
      <c r="T59" s="39"/>
      <c r="U59" s="82" t="s">
        <v>217</v>
      </c>
      <c r="V59" s="36" t="s">
        <v>218</v>
      </c>
      <c r="W59" s="83" t="s">
        <v>219</v>
      </c>
      <c r="X59" s="31" t="s">
        <v>126</v>
      </c>
      <c r="Y59" s="59" t="str">
        <f>DEC2HEX(L52)</f>
        <v>0</v>
      </c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</row>
    <row r="60" s="1" customFormat="1" ht="175.5" hidden="1" spans="3:45">
      <c r="C60" s="35" t="str">
        <f>"预留带宽 
范围:0-"&amp;L62</f>
        <v>预留带宽 
范围:0-99</v>
      </c>
      <c r="D60" s="36" t="s">
        <v>31</v>
      </c>
      <c r="E60" s="38">
        <v>10</v>
      </c>
      <c r="F60" s="37">
        <f>C14</f>
        <v>10</v>
      </c>
      <c r="G60" s="34" t="s">
        <v>220</v>
      </c>
      <c r="H60" s="39"/>
      <c r="I60" s="60" t="s">
        <v>221</v>
      </c>
      <c r="J60" s="62" t="s">
        <v>222</v>
      </c>
      <c r="K60" s="36" t="s">
        <v>223</v>
      </c>
      <c r="L60" s="50">
        <f>IF(ROUNDUP(R83*1000*8/F57,0)&gt;200000000,200000000,ROUNDUP(R83*1000*8/F57,0))</f>
        <v>2781558</v>
      </c>
      <c r="M60" s="59" t="s">
        <v>172</v>
      </c>
      <c r="N60" s="39"/>
      <c r="O60" s="30" t="s">
        <v>224</v>
      </c>
      <c r="P60" s="31" t="s">
        <v>225</v>
      </c>
      <c r="Q60" s="31" t="s">
        <v>226</v>
      </c>
      <c r="R60" s="53">
        <v>12</v>
      </c>
      <c r="S60" s="54" t="s">
        <v>172</v>
      </c>
      <c r="T60" s="39"/>
      <c r="U60" s="84" t="s">
        <v>227</v>
      </c>
      <c r="V60" s="36" t="s">
        <v>228</v>
      </c>
      <c r="W60" s="83" t="s">
        <v>229</v>
      </c>
      <c r="X60" s="31" t="s">
        <v>122</v>
      </c>
      <c r="Y60" s="90" t="str">
        <f>DEC2HEX(L51)</f>
        <v>4E19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</row>
    <row r="61" s="1" customFormat="1" ht="54" hidden="1" spans="3:45">
      <c r="C61" s="27" t="s">
        <v>26</v>
      </c>
      <c r="D61" s="28"/>
      <c r="E61" s="28"/>
      <c r="F61" s="28"/>
      <c r="G61" s="29"/>
      <c r="H61" s="39"/>
      <c r="I61" s="27" t="s">
        <v>230</v>
      </c>
      <c r="J61" s="28"/>
      <c r="K61" s="28"/>
      <c r="L61" s="28"/>
      <c r="M61" s="29"/>
      <c r="N61" s="39"/>
      <c r="O61" s="30" t="s">
        <v>231</v>
      </c>
      <c r="P61" s="36" t="s">
        <v>232</v>
      </c>
      <c r="Q61" s="31" t="s">
        <v>233</v>
      </c>
      <c r="R61" s="53">
        <f>R56+R57+R58</f>
        <v>36</v>
      </c>
      <c r="S61" s="54" t="s">
        <v>172</v>
      </c>
      <c r="T61" s="39"/>
      <c r="U61" s="84" t="s">
        <v>234</v>
      </c>
      <c r="V61" s="36" t="s">
        <v>235</v>
      </c>
      <c r="W61" s="83" t="s">
        <v>236</v>
      </c>
      <c r="X61" s="31" t="s">
        <v>111</v>
      </c>
      <c r="Y61" s="90" t="str">
        <f>DEC2HEX(MAX(L46,L47,L48,L49))</f>
        <v>5D62</v>
      </c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</row>
    <row r="62" s="1" customFormat="1" ht="108.75" hidden="1" spans="3:45">
      <c r="C62" s="30" t="s">
        <v>237</v>
      </c>
      <c r="D62" s="31" t="s">
        <v>238</v>
      </c>
      <c r="E62" s="31">
        <v>0</v>
      </c>
      <c r="F62" s="32">
        <f>C12</f>
        <v>0</v>
      </c>
      <c r="G62" s="33" t="s">
        <v>110</v>
      </c>
      <c r="H62" s="39"/>
      <c r="I62" s="63" t="s">
        <v>239</v>
      </c>
      <c r="J62" s="64" t="s">
        <v>230</v>
      </c>
      <c r="K62" s="65" t="s">
        <v>240</v>
      </c>
      <c r="L62" s="66">
        <f>IF((100-ROUNDDOWN(10*R78/(125000*F57),0)-1)&lt;0,0,(100-ROUNDDOWN(10*R78/(125000*F57),0)-1))</f>
        <v>99</v>
      </c>
      <c r="M62" s="67" t="s">
        <v>220</v>
      </c>
      <c r="N62" s="39"/>
      <c r="O62" s="30" t="s">
        <v>241</v>
      </c>
      <c r="P62" s="36" t="s">
        <v>242</v>
      </c>
      <c r="Q62" s="31" t="s">
        <v>243</v>
      </c>
      <c r="R62" s="53">
        <f>R53+R54+R55+R59</f>
        <v>26</v>
      </c>
      <c r="S62" s="54" t="s">
        <v>172</v>
      </c>
      <c r="T62" s="39"/>
      <c r="U62" s="84" t="s">
        <v>244</v>
      </c>
      <c r="V62" s="36" t="s">
        <v>245</v>
      </c>
      <c r="W62" s="83" t="s">
        <v>246</v>
      </c>
      <c r="X62" s="31" t="s">
        <v>111</v>
      </c>
      <c r="Y62" s="90" t="str">
        <f>DEC2HEX(MAX(L46,L47,L48))</f>
        <v>5D62</v>
      </c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</row>
    <row r="63" s="1" customFormat="1" ht="54" hidden="1" spans="3:45">
      <c r="C63" s="40" t="s">
        <v>26</v>
      </c>
      <c r="D63" s="41" t="s">
        <v>247</v>
      </c>
      <c r="E63" s="41">
        <f>VLOOKUP($E$39,$U$41:$AS$44,25,FALSE)</f>
        <v>4</v>
      </c>
      <c r="F63" s="42">
        <f>C13</f>
        <v>40.8</v>
      </c>
      <c r="G63" s="43" t="s">
        <v>119</v>
      </c>
      <c r="H63" s="39"/>
      <c r="I63" s="39"/>
      <c r="J63" s="39"/>
      <c r="K63" s="39"/>
      <c r="L63" s="39"/>
      <c r="M63" s="39"/>
      <c r="N63" s="39"/>
      <c r="O63" s="30" t="s">
        <v>248</v>
      </c>
      <c r="P63" s="31" t="s">
        <v>249</v>
      </c>
      <c r="Q63" s="31" t="s">
        <v>250</v>
      </c>
      <c r="R63" s="53">
        <f>64-R55-R59-R61</f>
        <v>10</v>
      </c>
      <c r="S63" s="54" t="s">
        <v>172</v>
      </c>
      <c r="T63" s="39"/>
      <c r="U63" s="84" t="s">
        <v>251</v>
      </c>
      <c r="V63" s="36" t="s">
        <v>252</v>
      </c>
      <c r="W63" s="83" t="s">
        <v>253</v>
      </c>
      <c r="X63" s="31" t="s">
        <v>127</v>
      </c>
      <c r="Y63" s="90" t="str">
        <f>DEC2HEX(L46)</f>
        <v>5D62</v>
      </c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</row>
    <row r="64" s="1" customFormat="1" ht="40.5" hidden="1" spans="3:45">
      <c r="C64" s="27" t="s">
        <v>254</v>
      </c>
      <c r="D64" s="28"/>
      <c r="E64" s="28"/>
      <c r="F64" s="28"/>
      <c r="G64" s="29"/>
      <c r="H64" s="39"/>
      <c r="I64" s="39"/>
      <c r="J64" s="39"/>
      <c r="K64" s="39"/>
      <c r="L64" s="39"/>
      <c r="M64" s="39"/>
      <c r="N64" s="39"/>
      <c r="O64" s="27" t="s">
        <v>255</v>
      </c>
      <c r="P64" s="28"/>
      <c r="Q64" s="28"/>
      <c r="R64" s="28"/>
      <c r="S64" s="29"/>
      <c r="T64" s="39"/>
      <c r="U64" s="82" t="s">
        <v>256</v>
      </c>
      <c r="V64" s="36" t="s">
        <v>257</v>
      </c>
      <c r="W64" s="83" t="s">
        <v>258</v>
      </c>
      <c r="X64" s="31" t="s">
        <v>259</v>
      </c>
      <c r="Y64" s="59" t="str">
        <f>DEC2HEX(ROUNDUP(F53+R49+4,0))</f>
        <v>140A</v>
      </c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="1" customFormat="1" ht="27" hidden="1" spans="3:45">
      <c r="C65" s="30" t="s">
        <v>260</v>
      </c>
      <c r="D65" s="31" t="s">
        <v>261</v>
      </c>
      <c r="E65" s="31">
        <v>1</v>
      </c>
      <c r="F65" s="32">
        <v>1</v>
      </c>
      <c r="G65" s="33" t="s">
        <v>110</v>
      </c>
      <c r="H65" s="39"/>
      <c r="I65" s="39"/>
      <c r="J65" s="39"/>
      <c r="K65" s="39"/>
      <c r="L65" s="39"/>
      <c r="M65" s="39"/>
      <c r="N65" s="39"/>
      <c r="O65" s="24" t="s">
        <v>91</v>
      </c>
      <c r="P65" s="25" t="s">
        <v>92</v>
      </c>
      <c r="Q65" s="25" t="s">
        <v>96</v>
      </c>
      <c r="R65" s="25" t="s">
        <v>98</v>
      </c>
      <c r="S65" s="72" t="s">
        <v>95</v>
      </c>
      <c r="T65" s="39"/>
      <c r="U65" s="128" t="s">
        <v>262</v>
      </c>
      <c r="V65" s="36" t="s">
        <v>263</v>
      </c>
      <c r="W65" s="36" t="s">
        <v>264</v>
      </c>
      <c r="X65" s="36" t="s">
        <v>110</v>
      </c>
      <c r="Y65" s="90" t="s">
        <v>265</v>
      </c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</row>
    <row r="66" s="1" customFormat="1" ht="68.25" hidden="1" spans="3:45">
      <c r="C66" s="98" t="s">
        <v>266</v>
      </c>
      <c r="D66" s="99" t="s">
        <v>267</v>
      </c>
      <c r="E66" s="99">
        <v>1</v>
      </c>
      <c r="F66" s="32">
        <v>2</v>
      </c>
      <c r="G66" s="100" t="s">
        <v>110</v>
      </c>
      <c r="H66" s="39"/>
      <c r="I66" s="39"/>
      <c r="J66" s="39"/>
      <c r="K66" s="39"/>
      <c r="L66" s="39"/>
      <c r="M66" s="39"/>
      <c r="N66" s="39"/>
      <c r="O66" s="30" t="s">
        <v>268</v>
      </c>
      <c r="P66" s="36" t="s">
        <v>269</v>
      </c>
      <c r="Q66" s="31" t="s">
        <v>270</v>
      </c>
      <c r="R66" s="53">
        <f>36</f>
        <v>36</v>
      </c>
      <c r="S66" s="54" t="s">
        <v>172</v>
      </c>
      <c r="T66" s="39"/>
      <c r="U66" s="129" t="s">
        <v>271</v>
      </c>
      <c r="V66" s="130" t="s">
        <v>272</v>
      </c>
      <c r="W66" s="130" t="s">
        <v>273</v>
      </c>
      <c r="X66" s="99" t="s">
        <v>274</v>
      </c>
      <c r="Y66" s="67" t="e">
        <f>DEC2HEX(ROUNDUP(L42*R42/1000,0)-F52/VLOOKUP($C$4,$S$4:$AQ$15,5,FALSE)/VLOOKUP($C$4,$S$4:$AQ$15,6,FALSE))</f>
        <v>#N/A</v>
      </c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</row>
    <row r="67" s="1" customFormat="1" ht="41.25" hidden="1" spans="3:45">
      <c r="C67" s="101" t="s">
        <v>275</v>
      </c>
      <c r="D67" s="102"/>
      <c r="E67" s="102"/>
      <c r="F67" s="102"/>
      <c r="G67" s="103"/>
      <c r="H67" s="39"/>
      <c r="I67" s="39"/>
      <c r="J67" s="39"/>
      <c r="K67" s="39"/>
      <c r="L67" s="39"/>
      <c r="M67" s="39"/>
      <c r="N67" s="39"/>
      <c r="O67" s="30" t="s">
        <v>276</v>
      </c>
      <c r="P67" s="36" t="s">
        <v>277</v>
      </c>
      <c r="Q67" s="31" t="s">
        <v>278</v>
      </c>
      <c r="R67" s="53">
        <v>10</v>
      </c>
      <c r="S67" s="54" t="s">
        <v>172</v>
      </c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</row>
    <row r="68" s="1" customFormat="1" ht="27" hidden="1" spans="3:45">
      <c r="C68" s="104" t="s">
        <v>279</v>
      </c>
      <c r="D68" s="105" t="s">
        <v>280</v>
      </c>
      <c r="E68" s="105">
        <v>1</v>
      </c>
      <c r="F68" s="106">
        <v>1</v>
      </c>
      <c r="G68" s="107" t="s">
        <v>110</v>
      </c>
      <c r="H68" s="39"/>
      <c r="I68" s="39"/>
      <c r="J68" s="39"/>
      <c r="K68" s="39"/>
      <c r="L68" s="39"/>
      <c r="M68" s="39"/>
      <c r="N68" s="39"/>
      <c r="O68" s="35" t="s">
        <v>281</v>
      </c>
      <c r="P68" s="36" t="s">
        <v>282</v>
      </c>
      <c r="Q68" s="36" t="s">
        <v>283</v>
      </c>
      <c r="R68" s="58">
        <f>C4*C5*IF(F43=8,1,2)</f>
        <v>26214400</v>
      </c>
      <c r="S68" s="54" t="s">
        <v>172</v>
      </c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</row>
    <row r="69" s="1" customFormat="1" ht="27.75" hidden="1" spans="3:45">
      <c r="C69" s="108" t="s">
        <v>284</v>
      </c>
      <c r="D69" s="109" t="s">
        <v>285</v>
      </c>
      <c r="E69" s="109">
        <v>1</v>
      </c>
      <c r="F69" s="110">
        <v>1</v>
      </c>
      <c r="G69" s="111" t="s">
        <v>110</v>
      </c>
      <c r="H69" s="39"/>
      <c r="I69" s="39"/>
      <c r="J69" s="39"/>
      <c r="K69" s="39"/>
      <c r="L69" s="39"/>
      <c r="M69" s="39"/>
      <c r="N69" s="39"/>
      <c r="O69" s="30" t="s">
        <v>286</v>
      </c>
      <c r="P69" s="36" t="s">
        <v>287</v>
      </c>
      <c r="Q69" s="36" t="s">
        <v>288</v>
      </c>
      <c r="R69" s="131">
        <f>R68+32*F55</f>
        <v>26214400</v>
      </c>
      <c r="S69" s="54" t="s">
        <v>172</v>
      </c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</row>
    <row r="70" s="1" customFormat="1" ht="40.5" hidden="1" spans="3:45">
      <c r="C70" s="112" t="s">
        <v>44</v>
      </c>
      <c r="D70" s="113"/>
      <c r="E70" s="113"/>
      <c r="F70" s="113"/>
      <c r="G70" s="114"/>
      <c r="H70" s="39"/>
      <c r="I70" s="39"/>
      <c r="J70" s="39"/>
      <c r="K70" s="39"/>
      <c r="L70" s="39"/>
      <c r="M70" s="39"/>
      <c r="N70" s="39"/>
      <c r="O70" s="30" t="s">
        <v>289</v>
      </c>
      <c r="P70" s="36" t="s">
        <v>290</v>
      </c>
      <c r="Q70" s="31" t="s">
        <v>291</v>
      </c>
      <c r="R70" s="132">
        <f>INT(R69/(F58-R61))</f>
        <v>3225</v>
      </c>
      <c r="S70" s="54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="1" customFormat="1" ht="54.75" hidden="1" spans="3:45">
      <c r="C71" s="115" t="s">
        <v>45</v>
      </c>
      <c r="D71" s="116" t="s">
        <v>292</v>
      </c>
      <c r="E71" s="116"/>
      <c r="F71" s="117">
        <f>L44</f>
        <v>41.8305028026437</v>
      </c>
      <c r="G71" s="118"/>
      <c r="H71" s="39"/>
      <c r="I71" s="39"/>
      <c r="J71" s="39"/>
      <c r="K71" s="39"/>
      <c r="L71" s="39"/>
      <c r="M71" s="39"/>
      <c r="N71" s="39"/>
      <c r="O71" s="30" t="s">
        <v>293</v>
      </c>
      <c r="P71" s="36" t="s">
        <v>294</v>
      </c>
      <c r="Q71" s="31" t="s">
        <v>295</v>
      </c>
      <c r="R71" s="132">
        <f>R69-(F58-R61)*R70</f>
        <v>1600</v>
      </c>
      <c r="S71" s="54" t="s">
        <v>172</v>
      </c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</row>
    <row r="72" s="1" customFormat="1" ht="27.75" hidden="1" spans="3:45">
      <c r="C72" s="39"/>
      <c r="D72" s="39"/>
      <c r="E72" s="39"/>
      <c r="F72" s="119"/>
      <c r="G72" s="120"/>
      <c r="H72" s="39"/>
      <c r="I72" s="39"/>
      <c r="J72" s="39"/>
      <c r="K72" s="39"/>
      <c r="L72" s="39"/>
      <c r="M72" s="39"/>
      <c r="N72" s="39"/>
      <c r="O72" s="30" t="s">
        <v>296</v>
      </c>
      <c r="P72" s="36" t="s">
        <v>297</v>
      </c>
      <c r="Q72" s="31" t="s">
        <v>298</v>
      </c>
      <c r="R72" s="53">
        <f>IF(MOD(R68,(F58-R61))=0,0,1)</f>
        <v>1</v>
      </c>
      <c r="S72" s="54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</row>
    <row r="73" s="1" customFormat="1" ht="54" hidden="1" spans="3:4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0" t="s">
        <v>299</v>
      </c>
      <c r="P73" s="36" t="s">
        <v>300</v>
      </c>
      <c r="Q73" s="31" t="s">
        <v>301</v>
      </c>
      <c r="R73" s="132">
        <f>IF(R71&lt;R63,R63,R71)</f>
        <v>1600</v>
      </c>
      <c r="S73" s="54" t="s">
        <v>172</v>
      </c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</row>
    <row r="74" s="1" customFormat="1" ht="27" hidden="1" spans="3:4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0" t="s">
        <v>302</v>
      </c>
      <c r="P74" s="36" t="s">
        <v>303</v>
      </c>
      <c r="Q74" s="31" t="s">
        <v>304</v>
      </c>
      <c r="R74" s="132">
        <f>R62+R61+R66</f>
        <v>98</v>
      </c>
      <c r="S74" s="54" t="s">
        <v>172</v>
      </c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</row>
    <row r="75" s="1" customFormat="1" ht="27" hidden="1" spans="3:4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0" t="s">
        <v>305</v>
      </c>
      <c r="P75" s="36" t="s">
        <v>306</v>
      </c>
      <c r="Q75" s="31" t="s">
        <v>307</v>
      </c>
      <c r="R75" s="132">
        <f>R62+R61+R67</f>
        <v>72</v>
      </c>
      <c r="S75" s="54" t="s">
        <v>172</v>
      </c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</row>
    <row r="76" s="1" customFormat="1" ht="81" hidden="1" spans="3:45">
      <c r="C76" s="39"/>
      <c r="D76" s="39"/>
      <c r="E76" s="39"/>
      <c r="F76" s="39"/>
      <c r="G76" s="39"/>
      <c r="H76" s="39"/>
      <c r="I76" s="39"/>
      <c r="J76" s="39"/>
      <c r="K76" s="20"/>
      <c r="L76" s="39"/>
      <c r="M76" s="39"/>
      <c r="N76" s="39"/>
      <c r="O76" s="30" t="s">
        <v>308</v>
      </c>
      <c r="P76" s="36" t="s">
        <v>309</v>
      </c>
      <c r="Q76" s="31" t="s">
        <v>310</v>
      </c>
      <c r="R76" s="132">
        <f>R70*(F58+R62)+R72*(R73+R62+R61)</f>
        <v>26414412</v>
      </c>
      <c r="S76" s="54" t="s">
        <v>172</v>
      </c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</row>
    <row r="77" s="1" customFormat="1" ht="54" hidden="1" spans="3:4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5" t="s">
        <v>311</v>
      </c>
      <c r="P77" s="36" t="s">
        <v>312</v>
      </c>
      <c r="Q77" s="36" t="s">
        <v>313</v>
      </c>
      <c r="R77" s="133">
        <f>(2+R72+R70)*(R82)</f>
        <v>64560</v>
      </c>
      <c r="S77" s="59" t="s">
        <v>172</v>
      </c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="1" customFormat="1" ht="40.5" hidden="1" spans="3:4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5" t="s">
        <v>314</v>
      </c>
      <c r="P78" s="36" t="s">
        <v>315</v>
      </c>
      <c r="Q78" s="36" t="s">
        <v>316</v>
      </c>
      <c r="R78" s="58">
        <f>R74+R75+R76+R77</f>
        <v>26479142</v>
      </c>
      <c r="S78" s="59" t="s">
        <v>172</v>
      </c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="1" customFormat="1" ht="27" hidden="1" spans="3:4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5" t="s">
        <v>317</v>
      </c>
      <c r="P79" s="36" t="s">
        <v>318</v>
      </c>
      <c r="Q79" s="36" t="s">
        <v>319</v>
      </c>
      <c r="R79" s="50">
        <f>INT(1000000*F57*(100-F60)/80)</f>
        <v>11250000000</v>
      </c>
      <c r="S79" s="59" t="s">
        <v>320</v>
      </c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</row>
    <row r="80" s="1" customFormat="1" ht="41.25" hidden="1" spans="3:4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121" t="s">
        <v>321</v>
      </c>
      <c r="P80" s="65" t="s">
        <v>322</v>
      </c>
      <c r="Q80" s="65" t="s">
        <v>323</v>
      </c>
      <c r="R80" s="66">
        <f>ROUNDUP(R78*1000000/R79,0)*10</f>
        <v>23540</v>
      </c>
      <c r="S80" s="134" t="s">
        <v>114</v>
      </c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</row>
    <row r="81" s="1" customFormat="1" ht="14.25" hidden="1" spans="9:19">
      <c r="I81" s="39"/>
      <c r="J81" s="39"/>
      <c r="K81" s="39"/>
      <c r="L81" s="39"/>
      <c r="M81" s="39"/>
      <c r="O81" s="122" t="s">
        <v>324</v>
      </c>
      <c r="P81" s="123"/>
      <c r="Q81" s="123"/>
      <c r="R81" s="123"/>
      <c r="S81" s="135"/>
    </row>
    <row r="82" s="1" customFormat="1" ht="28.5" hidden="1" spans="9:19">
      <c r="I82" s="39"/>
      <c r="J82" s="39"/>
      <c r="K82" s="39"/>
      <c r="L82" s="39"/>
      <c r="M82" s="39"/>
      <c r="O82" s="124" t="s">
        <v>325</v>
      </c>
      <c r="P82" s="125" t="s">
        <v>326</v>
      </c>
      <c r="Q82" s="136" t="s">
        <v>327</v>
      </c>
      <c r="R82" s="137">
        <f>MAX(ROUNDUP(F59*F57/1000/8,0),R60+8)</f>
        <v>20</v>
      </c>
      <c r="S82" s="138" t="s">
        <v>328</v>
      </c>
    </row>
    <row r="83" s="1" customFormat="1" ht="86.25" hidden="1" spans="15:19">
      <c r="O83" s="126" t="s">
        <v>329</v>
      </c>
      <c r="P83" s="127" t="s">
        <v>330</v>
      </c>
      <c r="Q83" s="139" t="s">
        <v>331</v>
      </c>
      <c r="R83" s="140">
        <f>ROUNDDOWN((R79-(R76+R75+R74))/(R70+R72+2),0)</f>
        <v>3476947</v>
      </c>
      <c r="S83" s="141" t="s">
        <v>328</v>
      </c>
    </row>
    <row r="84" s="1" customFormat="1" hidden="1" spans="15:19">
      <c r="O84" s="17"/>
      <c r="P84" s="17"/>
      <c r="Q84" s="17"/>
      <c r="R84" s="17"/>
      <c r="S84" s="17"/>
    </row>
    <row r="85" s="1" customFormat="1" hidden="1" spans="15:19">
      <c r="O85" s="17"/>
      <c r="P85" s="17"/>
      <c r="Q85" s="17"/>
      <c r="R85" s="17"/>
      <c r="S85" s="17"/>
    </row>
    <row r="86" s="1" customFormat="1" hidden="1" spans="15:19">
      <c r="O86" s="17"/>
      <c r="P86" s="17"/>
      <c r="Q86" s="17"/>
      <c r="R86" s="17"/>
      <c r="S86" s="17"/>
    </row>
    <row r="87" s="1" customFormat="1" hidden="1" spans="15:19">
      <c r="O87" s="17"/>
      <c r="P87" s="17"/>
      <c r="Q87" s="17"/>
      <c r="R87" s="17"/>
      <c r="S87" s="17"/>
    </row>
    <row r="88" s="1" customFormat="1" ht="12" hidden="1" customHeight="1" spans="15:19">
      <c r="O88" s="17"/>
      <c r="P88" s="17"/>
      <c r="Q88" s="17"/>
      <c r="R88" s="17"/>
      <c r="S88" s="17"/>
    </row>
    <row r="89" s="1" customFormat="1" hidden="1" spans="15:19">
      <c r="O89" s="17"/>
      <c r="P89" s="17"/>
      <c r="Q89" s="17"/>
      <c r="R89" s="17"/>
      <c r="S89" s="17"/>
    </row>
    <row r="90" s="1" customFormat="1" hidden="1" spans="15:19">
      <c r="O90" s="17"/>
      <c r="P90" s="17"/>
      <c r="Q90" s="17"/>
      <c r="R90" s="17"/>
      <c r="S90" s="17"/>
    </row>
    <row r="91" s="1" customFormat="1" hidden="1" spans="15:19">
      <c r="O91" s="17"/>
      <c r="P91" s="17"/>
      <c r="Q91" s="17"/>
      <c r="R91" s="17"/>
      <c r="S91" s="17"/>
    </row>
    <row r="92" s="1" customFormat="1" hidden="1" spans="15:19">
      <c r="O92" s="17"/>
      <c r="P92" s="17"/>
      <c r="Q92" s="17"/>
      <c r="R92" s="17"/>
      <c r="S92" s="17"/>
    </row>
    <row r="93" s="1" customFormat="1" hidden="1" spans="15:19">
      <c r="O93" s="17"/>
      <c r="P93" s="17"/>
      <c r="Q93" s="17"/>
      <c r="R93" s="17"/>
      <c r="S93" s="17"/>
    </row>
    <row r="94" hidden="1"/>
  </sheetData>
  <sheetProtection password="DE11" sheet="1" selectLockedCells="1" objects="1"/>
  <mergeCells count="33">
    <mergeCell ref="A26:B26"/>
    <mergeCell ref="A27:B27"/>
    <mergeCell ref="A28:B28"/>
    <mergeCell ref="A29:B29"/>
    <mergeCell ref="A30:B30"/>
    <mergeCell ref="A31:B31"/>
    <mergeCell ref="I39:M39"/>
    <mergeCell ref="O39:S39"/>
    <mergeCell ref="U39:AS39"/>
    <mergeCell ref="C40:G40"/>
    <mergeCell ref="I40:M40"/>
    <mergeCell ref="O40:S40"/>
    <mergeCell ref="C42:G42"/>
    <mergeCell ref="C44:G44"/>
    <mergeCell ref="I45:M45"/>
    <mergeCell ref="C47:G47"/>
    <mergeCell ref="C49:G49"/>
    <mergeCell ref="I50:M50"/>
    <mergeCell ref="C54:G54"/>
    <mergeCell ref="I55:M55"/>
    <mergeCell ref="C56:G56"/>
    <mergeCell ref="U57:Y57"/>
    <mergeCell ref="I59:M59"/>
    <mergeCell ref="C61:G61"/>
    <mergeCell ref="I61:M61"/>
    <mergeCell ref="C64:G64"/>
    <mergeCell ref="O64:S64"/>
    <mergeCell ref="C67:G67"/>
    <mergeCell ref="C70:G70"/>
    <mergeCell ref="D71:E71"/>
    <mergeCell ref="F71:G71"/>
    <mergeCell ref="F72:G72"/>
    <mergeCell ref="O81:S81"/>
  </mergeCells>
  <dataValidations count="30">
    <dataValidation type="custom" allowBlank="1" showInputMessage="1" showErrorMessage="1" error="输入参数值为1或者2" sqref="C8">
      <formula1>OR((C8=1),(C8=2))</formula1>
    </dataValidation>
    <dataValidation allowBlank="1" showErrorMessage="1" promptTitle="参数变化" prompt="该参数会根据当前生效的水平像素Binning、水平像素抽样变化" sqref="C2 C3"/>
    <dataValidation type="whole" operator="between" allowBlank="1" showInputMessage="1" showErrorMessage="1" error="设置值范围为0~包间隔最大值" sqref="C16">
      <formula1>0</formula1>
      <formula2>C17</formula2>
    </dataValidation>
    <dataValidation allowBlank="1" showInputMessage="1" showErrorMessage="1" error="输入范围是64~1024，步长为2" sqref="A1:C1"/>
    <dataValidation type="custom" allowBlank="1" showInputMessage="1" showErrorMessage="1" errorTitle="输入数值非法" error="输入范围是16~图像宽度最大值，步长为16" sqref="C4">
      <formula1>AND((C4&lt;=C2),(C4&gt;=4),(MOD(C4,4)=0))</formula1>
    </dataValidation>
    <dataValidation type="whole" operator="between" allowBlank="1" showInputMessage="1" showErrorMessage="1" errorTitle="超出范围" error="曝光时间的范围是14us-1s" sqref="C9 F45">
      <formula1>14</formula1>
      <formula2>1000000</formula2>
    </dataValidation>
    <dataValidation type="custom" allowBlank="1" showInputMessage="1" showErrorMessage="1" errorTitle="输入数值非法" error="输入范围是2~图像高度最大值，步长为2" sqref="C5">
      <formula1>AND((C5&lt;=C3),(C5&gt;=2),(MOD(C5,2)=0))</formula1>
    </dataValidation>
    <dataValidation type="custom" allowBlank="1" showInputMessage="1" showErrorMessage="1" error="输入参数值为1或者2，并且当水平像素抽样不为1时不能输入" sqref="C6">
      <formula1>AND(OR((C6=1),(C6=2)),C7=1)</formula1>
    </dataValidation>
    <dataValidation type="custom" allowBlank="1" showInputMessage="1" showErrorMessage="1" error="输入参数值为1或者2，并且当水平像素抽样不为1时不能输入" sqref="C7">
      <formula1>AND(OR((C7=1),(C7=2)),C6=1)</formula1>
    </dataValidation>
    <dataValidation type="custom" allowBlank="1" showInputMessage="1" showErrorMessage="1" error="请输入8或者12" sqref="C10">
      <formula1>OR((C10=8),(C10=12))</formula1>
    </dataValidation>
    <dataValidation type="custom" allowBlank="1" showInputMessage="1" showErrorMessage="1" error="请输入10000或者1000" sqref="C11">
      <formula1>OR((C11=10000),(C11=1000))</formula1>
    </dataValidation>
    <dataValidation type="list" allowBlank="1" showInputMessage="1" showErrorMessage="1" errorTitle="超出范围" error="请输入0或者1" sqref="C12 C20">
      <formula1>"0,1"</formula1>
    </dataValidation>
    <dataValidation type="custom" allowBlank="1" showInputMessage="1" showErrorMessage="1" error="设置值范围0.1~10000.0，精确到一位小数" sqref="C13">
      <formula1>AND(TRUNC(C13,1)=C13,(C13&gt;=0.1),(C13&lt;=10000))</formula1>
    </dataValidation>
    <dataValidation type="whole" operator="between" allowBlank="1" showInputMessage="1" showErrorMessage="1" error="输入范围是[0,5000]，单位为us" sqref="C19">
      <formula1>0</formula1>
      <formula2>5000</formula2>
    </dataValidation>
    <dataValidation type="whole" operator="between" allowBlank="1" showInputMessage="1" showErrorMessage="1" error="设置范围为0~预留带宽最大值" sqref="C14">
      <formula1>0</formula1>
      <formula2>C15</formula2>
    </dataValidation>
    <dataValidation type="custom" allowBlank="1" showInputMessage="1" showErrorMessage="1" error="输入范围是512~8192，步长为4" sqref="C18 C27">
      <formula1>AND((C18&lt;=8192),(C18&gt;=512),(MOD(C18,4)=0))</formula1>
    </dataValidation>
    <dataValidation type="list" allowBlank="1" showInputMessage="1" showErrorMessage="1" sqref="E39">
      <formula1>$S$9:$S$11</formula1>
    </dataValidation>
    <dataValidation type="list" allowBlank="1" showInputMessage="1" showErrorMessage="1" sqref="F43">
      <formula1>"8,12"</formula1>
    </dataValidation>
    <dataValidation type="whole" operator="between" allowBlank="1" showInputMessage="1" showErrorMessage="1" errorTitle="超出范围" error="曝光延迟的范围是0-5000us" sqref="F46">
      <formula1>0</formula1>
      <formula2>5000</formula2>
    </dataValidation>
    <dataValidation type="whole" operator="between" allowBlank="1" showInputMessage="1" showErrorMessage="1" errorTitle="超出范围" error="触发延时的范围是0-3000000us" sqref="F48">
      <formula1>0</formula1>
      <formula2>3000000</formula2>
    </dataValidation>
    <dataValidation type="whole" operator="between" allowBlank="1" showInputMessage="1" showErrorMessage="1" errorTitle="输入数值非法" error="最小值4，最大值D12" sqref="F52">
      <formula1>4</formula1>
      <formula2>E52</formula2>
    </dataValidation>
    <dataValidation type="whole" operator="between" allowBlank="1" showInputMessage="1" showErrorMessage="1" errorTitle="输入数值非法" error="最小值2，最大值D13" sqref="F53">
      <formula1>2</formula1>
      <formula2>E53</formula2>
    </dataValidation>
    <dataValidation type="list" allowBlank="1" showInputMessage="1" showErrorMessage="1" sqref="F55">
      <formula1>"0,1"</formula1>
    </dataValidation>
    <dataValidation type="custom" allowBlank="1" showInputMessage="1" showErrorMessage="1" sqref="F58">
      <formula1>AND(MOD(F58,4)=0,F58&gt;=512,F58&lt;=16384)</formula1>
    </dataValidation>
    <dataValidation type="whole" operator="between" allowBlank="1" showInputMessage="1" showErrorMessage="1" errorTitle="设置值超出范围" error="包间隔设置值超出范围" sqref="F59">
      <formula1>0</formula1>
      <formula2>L60</formula2>
    </dataValidation>
    <dataValidation type="whole" operator="between" allowBlank="1" showInputMessage="1" showErrorMessage="1" errorTitle="设置值超出范围" error="预留带宽设置值超出范围" sqref="F60">
      <formula1>0</formula1>
      <formula2>L62</formula2>
    </dataValidation>
    <dataValidation type="list" allowBlank="1" showInputMessage="1" showErrorMessage="1" errorTitle="超出范围" error="0:关闭&#10;1:打开" sqref="F62">
      <formula1>"0,1"</formula1>
    </dataValidation>
    <dataValidation type="decimal" operator="between" allowBlank="1" showInputMessage="1" showErrorMessage="1" sqref="F63">
      <formula1>0.1</formula1>
      <formula2>10000</formula2>
    </dataValidation>
    <dataValidation type="whole" operator="lessThanOrEqual" allowBlank="1" showErrorMessage="1" error="设置水平Binning/Skipping时，需要同步修改水平ROI" sqref="F65 F68" errorStyle="information">
      <formula1>1</formula1>
    </dataValidation>
    <dataValidation type="whole" operator="lessThanOrEqual" allowBlank="1" showErrorMessage="1" error="设置垂直Binning/Skipping时，需要同步修改垂直ROI" sqref="F66 F69" errorStyle="information">
      <formula1>1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版本</vt:lpstr>
      <vt:lpstr>MARS-2621-42GTx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wangdh</cp:lastModifiedBy>
  <dcterms:created xsi:type="dcterms:W3CDTF">2022-11-14T05:33:00Z</dcterms:created>
  <dcterms:modified xsi:type="dcterms:W3CDTF">2023-02-23T02:32:16Z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B85455079ED840F59AE4BA51F5544240</vt:lpwstr>
  </property>
  <property fmtid="{D5CDD505-2E9C-101B-9397-08002B2CF9AE}" pid="3" name="KSOProductBuildVer">
    <vt:lpwstr>2052-11.1.0.11365</vt:lpwstr>
  </property>
</Properties>
</file>